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.shortcut-targets-by-id/0B2DOOuevd01EdTI2YlV0VzRTZzA/NC LIVE Staff Shared Folder Directory/ERM/Title Lists/ProQuest/"/>
    </mc:Choice>
  </mc:AlternateContent>
  <xr:revisionPtr revIDLastSave="0" documentId="8_{06F5C2F3-07C0-B74A-A69E-C1338EE7BBF9}" xr6:coauthVersionLast="43" xr6:coauthVersionMax="43" xr10:uidLastSave="{00000000-0000-0000-0000-000000000000}"/>
  <bookViews>
    <workbookView xWindow="1180" yWindow="1500" windowWidth="33060" windowHeight="19480"/>
  </bookViews>
  <sheets>
    <sheet name="20221004_2888381_nclive-eboo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</calcChain>
</file>

<file path=xl/sharedStrings.xml><?xml version="1.0" encoding="utf-8"?>
<sst xmlns="http://schemas.openxmlformats.org/spreadsheetml/2006/main" count="9287" uniqueCount="2112">
  <si>
    <t>Document ID</t>
  </si>
  <si>
    <t>Title</t>
  </si>
  <si>
    <t>PrintIsbn</t>
  </si>
  <si>
    <t>EIsbn</t>
  </si>
  <si>
    <t>Publisher</t>
  </si>
  <si>
    <t>Imprint</t>
  </si>
  <si>
    <t>PublicationDate</t>
  </si>
  <si>
    <t>Date Added</t>
  </si>
  <si>
    <t>Document Type</t>
  </si>
  <si>
    <t>Title Edition</t>
  </si>
  <si>
    <t>Series Title</t>
  </si>
  <si>
    <t>Authors</t>
  </si>
  <si>
    <t>Subject</t>
  </si>
  <si>
    <t>Lcc</t>
  </si>
  <si>
    <t>Dewey</t>
  </si>
  <si>
    <t>Lcsh</t>
  </si>
  <si>
    <t>Language</t>
  </si>
  <si>
    <t>Available for Sale</t>
  </si>
  <si>
    <t>Digital Course Reserve</t>
  </si>
  <si>
    <t>Max Concurrent Users</t>
  </si>
  <si>
    <t>DDA Available</t>
  </si>
  <si>
    <t>Full Download Available</t>
  </si>
  <si>
    <t>EPUB Full Download Only</t>
  </si>
  <si>
    <t>STL Available</t>
  </si>
  <si>
    <t>DRM Free Available for Sale</t>
  </si>
  <si>
    <t>Price Non-Linear USD</t>
  </si>
  <si>
    <t>Price 3-User USD</t>
  </si>
  <si>
    <t>Price 1-User USD</t>
  </si>
  <si>
    <t>Price Unlimited USD</t>
  </si>
  <si>
    <t>Full MARC Available</t>
  </si>
  <si>
    <t>ebrary ID</t>
  </si>
  <si>
    <t>MiL ID</t>
  </si>
  <si>
    <t>Fund Code</t>
  </si>
  <si>
    <t>Subscribed</t>
  </si>
  <si>
    <t>DRM Free Subscribed</t>
  </si>
  <si>
    <t>Owned</t>
  </si>
  <si>
    <t>DRM Free Owned</t>
  </si>
  <si>
    <t>NL Days Remaining</t>
  </si>
  <si>
    <t>Visible</t>
  </si>
  <si>
    <t>Full Record URL</t>
  </si>
  <si>
    <t>The Russian Language Today</t>
  </si>
  <si>
    <t>Taylor &amp; Francis Group</t>
  </si>
  <si>
    <t>Routledge</t>
  </si>
  <si>
    <t>Book</t>
  </si>
  <si>
    <t>Ryazanova-Clarke, Larissa;Wade, Terence</t>
  </si>
  <si>
    <t>Language/Linguistics</t>
  </si>
  <si>
    <t>PG2087 -- .R9 1999eb</t>
  </si>
  <si>
    <t>Mass media and language</t>
  </si>
  <si>
    <t>English</t>
  </si>
  <si>
    <t>Yes</t>
  </si>
  <si>
    <t>No</t>
  </si>
  <si>
    <t>Yes -1</t>
  </si>
  <si>
    <t>https://ebookcentral.proquest.com/lib/nclive-ebooks/detail.action?docID=169193</t>
  </si>
  <si>
    <t>Death by Meeting : A Leadership Fable... about Solving the Most Painful Problem in Business</t>
  </si>
  <si>
    <t>John Wiley &amp; Sons, Incorporated</t>
  </si>
  <si>
    <t>Jossey-Bass</t>
  </si>
  <si>
    <t>J-B Lencioni Ser.</t>
  </si>
  <si>
    <t>Lencioni, Patrick M.;Lencioni, Patrick</t>
  </si>
  <si>
    <t>Business/Management</t>
  </si>
  <si>
    <t>HF5734.5.L46 2004</t>
  </si>
  <si>
    <t>658.4/56</t>
  </si>
  <si>
    <t>Business meetings.</t>
  </si>
  <si>
    <t>https://ebookcentral.proquest.com/lib/nclive-ebooks/detail.action?docID=176034</t>
  </si>
  <si>
    <t>Modern Mandarin Chinese Grammar : A Practical Guide</t>
  </si>
  <si>
    <t>Modern Grammars</t>
  </si>
  <si>
    <t>Ross, Claudia;Ma, Jing-heng Sheng</t>
  </si>
  <si>
    <t>PL1107 .R65 2006eb</t>
  </si>
  <si>
    <t>Chinese language - Grammar;Chinese language.</t>
  </si>
  <si>
    <t>https://ebookcentral.proquest.com/lib/nclive-ebooks/detail.action?docID=178816</t>
  </si>
  <si>
    <t>Colloquial Hindi : The Complete Course for Beginners</t>
  </si>
  <si>
    <t>Colloquial Series</t>
  </si>
  <si>
    <t>Bhatia, Tej K.</t>
  </si>
  <si>
    <t>PK1935 .B525 2002;PK1935.B525 1996</t>
  </si>
  <si>
    <t>Hindi language -- Conversation and phrase books -- English.;Hindi language -- Grammar.;Hindi language -- Textbooks for foreign speakers -- English.</t>
  </si>
  <si>
    <t>https://ebookcentral.proquest.com/lib/nclive-ebooks/detail.action?docID=179512</t>
  </si>
  <si>
    <t>The Meaning of Relativity</t>
  </si>
  <si>
    <t>Routledge Classics Ser.</t>
  </si>
  <si>
    <t>Einstein, Albert;Adams, Edwin P.</t>
  </si>
  <si>
    <t>Science; Science: Physics</t>
  </si>
  <si>
    <t>QC6 -- .E43 2003eb</t>
  </si>
  <si>
    <t>Relativity (Physics)</t>
  </si>
  <si>
    <t>https://ebookcentral.proquest.com/lib/nclive-ebooks/detail.action?docID=181874</t>
  </si>
  <si>
    <t>Portuguese : An Essential Grammar</t>
  </si>
  <si>
    <t>Routledge Essential Grammars</t>
  </si>
  <si>
    <t>Hutchinson, Amelia P.;Lloyd, Janet</t>
  </si>
  <si>
    <t>PC5067.3.H88 2003</t>
  </si>
  <si>
    <t>469.82/421</t>
  </si>
  <si>
    <t>Portuguese language--Grammar.</t>
  </si>
  <si>
    <t>https://ebookcentral.proquest.com/lib/nclive-ebooks/detail.action?docID=182540</t>
  </si>
  <si>
    <t>Women During the Civil War : An Encyclopedia</t>
  </si>
  <si>
    <t>Harper, Judith E.</t>
  </si>
  <si>
    <t>History</t>
  </si>
  <si>
    <t>E628 -- .H37 2004eb</t>
  </si>
  <si>
    <t>973.7/082</t>
  </si>
  <si>
    <t>Women in war. ; United States -- History -- Civil War, 1861-1865 -- Women -- Encyclopedias. ; United States -- History -- Civil War, 1861-1865 -- Social aspects -- Encyclopedias.</t>
  </si>
  <si>
    <t>https://ebookcentral.proquest.com/lib/nclive-ebooks/detail.action?docID=182790</t>
  </si>
  <si>
    <t>American Revolution 1774-1783</t>
  </si>
  <si>
    <t>Marston, Daniel</t>
  </si>
  <si>
    <t>E208.M349 2003</t>
  </si>
  <si>
    <t>United States - History - Revolution, 1775-1783.;United States-- History-- Revolution, 1775-1783.</t>
  </si>
  <si>
    <t>https://ebookcentral.proquest.com/lib/nclive-ebooks/detail.action?docID=182970</t>
  </si>
  <si>
    <t>War of 1812</t>
  </si>
  <si>
    <t>Benn, Carl</t>
  </si>
  <si>
    <t>E354.B46 2;E354.B46 2002eb</t>
  </si>
  <si>
    <t>United States - History - War of 1812.;United States-- History-- War of 1812.</t>
  </si>
  <si>
    <t>https://ebookcentral.proquest.com/lib/nclive-ebooks/detail.action?docID=182972</t>
  </si>
  <si>
    <t>Modern Hebrew: An Essential Grammar : An Essential Grammar</t>
  </si>
  <si>
    <t>Glinert, Lewis</t>
  </si>
  <si>
    <t>PJ4567.3 -- .G58 2005eb</t>
  </si>
  <si>
    <t>492.4/8421</t>
  </si>
  <si>
    <t>Hebrew language -- Grammar -- Textbooks.</t>
  </si>
  <si>
    <t>https://ebookcentral.proquest.com/lib/nclive-ebooks/detail.action?docID=199605</t>
  </si>
  <si>
    <t>Narrative, Political Unconscious and Racial Violence in Wilmington, North Carolina</t>
  </si>
  <si>
    <t>Studies in American Popular History and Culture Ser.</t>
  </si>
  <si>
    <t>Hossfeld, Leslie</t>
  </si>
  <si>
    <t>Social Science; History</t>
  </si>
  <si>
    <t>F264.W7 -- H67 2005eb</t>
  </si>
  <si>
    <t>Riots -- North Carolina -- Wilmington -- History -- 19th century -- Sources. ; Riots -- North Carolina -- Wilmington -- History -- 19th century. ; African Americans -- North Carolina -- Wilmington -- History -- 19th century. ; African Americans -- North Carolina -- Wilmington -- Interviews. ; Whites -- North Carolina -- Wilmington -- Interviews. ; Subconsciousness -- Political aspects -- North Carolina -- Wilmington. ; Narration (Rhetoric) -- History -- 19th century.</t>
  </si>
  <si>
    <t>https://ebookcentral.proquest.com/lib/nclive-ebooks/detail.action?docID=199654</t>
  </si>
  <si>
    <t>Greek : An Essential Grammar of the Modern Language</t>
  </si>
  <si>
    <t>Holton, David;Mackridge, Peter;Philippaki-Warburton, Irene</t>
  </si>
  <si>
    <t>PA1058 -- .H54 2004eb</t>
  </si>
  <si>
    <t>Greek language, Modern -- Textbooks for foreign speakers -- English.;Greek language, Modern -- Grammar.</t>
  </si>
  <si>
    <t>https://ebookcentral.proquest.com/lib/nclive-ebooks/detail.action?docID=200012</t>
  </si>
  <si>
    <t>Adam Smith: The Theory of Moral Sentiments : The Theory of Moral Sentiments</t>
  </si>
  <si>
    <t>Cambridge University Press</t>
  </si>
  <si>
    <t>Cambridge Texts in the History of Philosophy</t>
  </si>
  <si>
    <t>Smith, Adam;Haakonssen, Knud</t>
  </si>
  <si>
    <t>Philosophy</t>
  </si>
  <si>
    <t>BJ1005 .S6 2002</t>
  </si>
  <si>
    <t>Ethics--Early works to 1800.</t>
  </si>
  <si>
    <t>https://ebookcentral.proquest.com/lib/nclive-ebooks/detail.action?docID=201827</t>
  </si>
  <si>
    <t>Grammar, Gesture, and Meaning in American Sign Language</t>
  </si>
  <si>
    <t>Liddell, Scott K.</t>
  </si>
  <si>
    <t>Social Science; Language/Linguistics</t>
  </si>
  <si>
    <t>HV2474 .L53 2003</t>
  </si>
  <si>
    <t>American sign language</t>
  </si>
  <si>
    <t>https://ebookcentral.proquest.com/lib/nclive-ebooks/detail.action?docID=217995</t>
  </si>
  <si>
    <t>Overcoming the Five Dysfunctions of a Team : A Field Guide for Leaders, Managers, and Facilitators</t>
  </si>
  <si>
    <t>HD66.L457 2005</t>
  </si>
  <si>
    <t>Teams in the workplace.</t>
  </si>
  <si>
    <t>https://ebookcentral.proquest.com/lib/nclive-ebooks/detail.action?docID=228510</t>
  </si>
  <si>
    <t>A Reference Grammar of Modern Standard Arabic</t>
  </si>
  <si>
    <t>Reference Grammars</t>
  </si>
  <si>
    <t>Ryding, Karin C.</t>
  </si>
  <si>
    <t>PJ6303 .R93 2005</t>
  </si>
  <si>
    <t>Arabic language--Grammar</t>
  </si>
  <si>
    <t>https://ebookcentral.proquest.com/lib/nclive-ebooks/detail.action?docID=237554</t>
  </si>
  <si>
    <t>Chinese Phrases for Dummies</t>
  </si>
  <si>
    <t>For Dummies</t>
  </si>
  <si>
    <t>Abraham, Wendy</t>
  </si>
  <si>
    <t>PL1125.E6A27 2005</t>
  </si>
  <si>
    <t>Chinese language -- Conversation and phrase books -- English. ; Chinese language -- Spoken Chinese.</t>
  </si>
  <si>
    <t>https://ebookcentral.proquest.com/lib/nclive-ebooks/detail.action?docID=239424</t>
  </si>
  <si>
    <t>War of Another Kind : A Southern Community in the Great Rebellion</t>
  </si>
  <si>
    <t>Oxford University Press</t>
  </si>
  <si>
    <t>Oxford University Press (US)</t>
  </si>
  <si>
    <t>Durrill, Wayne K.</t>
  </si>
  <si>
    <t>E573.9 -- .D87 1990eb</t>
  </si>
  <si>
    <t>307.72;975.603</t>
  </si>
  <si>
    <t>Plantation life -- North Carolina -- History -- 19th century.;Plantations -- North Carolina -- History -- 19th century.;North Carolina -- History -- Civil War, 1861-1865.</t>
  </si>
  <si>
    <t>https://ebookcentral.proquest.com/lib/nclive-ebooks/detail.action?docID=241334</t>
  </si>
  <si>
    <t>Marathi Reading Course</t>
  </si>
  <si>
    <t>Raeside, I. M. P.;Raeside, I M P;Raeside I, M P</t>
  </si>
  <si>
    <t>PK2358 -- .R347 2004eb</t>
  </si>
  <si>
    <t>Marathi language -- Readers. ; Marathi language -- Textbooks for foreign speakers -- English.</t>
  </si>
  <si>
    <t>https://ebookcentral.proquest.com/lib/nclive-ebooks/detail.action?docID=241977</t>
  </si>
  <si>
    <t>Teach Yourself VISUALLY Scrapbooking</t>
  </si>
  <si>
    <t>Visual</t>
  </si>
  <si>
    <t>Teach Yourself VISUALLY</t>
  </si>
  <si>
    <t>Ludens, Rebecca;Schmidt, Jennifer</t>
  </si>
  <si>
    <t>Fine Arts</t>
  </si>
  <si>
    <t>TR465.L83 2006</t>
  </si>
  <si>
    <t>745.59;745.593</t>
  </si>
  <si>
    <t>Conservation and restoration;Digital techniques;Photograph albums;Photographs;Photography;Photography--Digital techniques;Scrapbooks</t>
  </si>
  <si>
    <t>https://ebookcentral.proquest.com/lib/nclive-ebooks/detail.action?docID=252636</t>
  </si>
  <si>
    <t>Colloquial Japanese : The Complete Course for Beginners</t>
  </si>
  <si>
    <t xml:space="preserve">Clarke, H.B.D;Hamamura, Motoko;Hamamura, Motoko </t>
  </si>
  <si>
    <t>PL539 .C64 2002eb</t>
  </si>
  <si>
    <t>Japanese language - Conversation and phrase books.</t>
  </si>
  <si>
    <t>https://ebookcentral.proquest.com/lib/nclive-ebooks/detail.action?docID=254193</t>
  </si>
  <si>
    <t>Colloquial Hebrew : The Complete Course for Beginners</t>
  </si>
  <si>
    <t>Lyttleton, Zippi;Wang, Tamar</t>
  </si>
  <si>
    <t>PJ4569.L95 2004eb</t>
  </si>
  <si>
    <t>English;Hebrew language - Textbooks for foreign speakers - English.;Spoken Hebrew</t>
  </si>
  <si>
    <t>https://ebookcentral.proquest.com/lib/nclive-ebooks/detail.action?docID=254218</t>
  </si>
  <si>
    <t>A Reference Grammar of Russian</t>
  </si>
  <si>
    <t>Timberlake, Alan</t>
  </si>
  <si>
    <t>PG2112 .T53 2004</t>
  </si>
  <si>
    <t>Russian language--Grammar</t>
  </si>
  <si>
    <t>https://ebookcentral.proquest.com/lib/nclive-ebooks/detail.action?docID=255157</t>
  </si>
  <si>
    <t>The Making of the American South : A Short History, 1500-1877</t>
  </si>
  <si>
    <t>Wiley-Blackwell</t>
  </si>
  <si>
    <t>Problems in American History Ser.</t>
  </si>
  <si>
    <t>Harris, J. William</t>
  </si>
  <si>
    <t>F209.H24 2006</t>
  </si>
  <si>
    <t>975/.09/031</t>
  </si>
  <si>
    <t>Southern States -- History -- 16th century.;Southern States -- History -- Colonial period, ca. 1600-1775.;Southern States -- History -- 1775-1865.;Southern States -- History -- 1865-1877.</t>
  </si>
  <si>
    <t>https://ebookcentral.proquest.com/lib/nclive-ebooks/detail.action?docID=255295</t>
  </si>
  <si>
    <t>Russian for Dummies</t>
  </si>
  <si>
    <t>Kaufman, Andrew D.;Gettys, Serafima;Wieda, Nina</t>
  </si>
  <si>
    <t>PG2129.E5K38 2006</t>
  </si>
  <si>
    <t>Russian language -- Textbooks for foreign speakers -- English. ; Russian language -- Spoken Russian.</t>
  </si>
  <si>
    <t>https://ebookcentral.proquest.com/lib/nclive-ebooks/detail.action?docID=256208</t>
  </si>
  <si>
    <t>A Population History of the United States</t>
  </si>
  <si>
    <t>Klein, Herbert S.</t>
  </si>
  <si>
    <t>Social Science; Business/Management</t>
  </si>
  <si>
    <t>HB3505 -- .K58 2004eb</t>
  </si>
  <si>
    <t>Political science -- History. ; History, Modern -- 21st century.</t>
  </si>
  <si>
    <t>https://ebookcentral.proquest.com/lib/nclive-ebooks/detail.action?docID=256639</t>
  </si>
  <si>
    <t>The Korean Language : Structure, Use and Context</t>
  </si>
  <si>
    <t>Song, Jae Jung</t>
  </si>
  <si>
    <t>PL911 -- .S655 2005eb</t>
  </si>
  <si>
    <t>Korean language -- Grammar. ; Korean language -- Textbooks for foreign speakers -- English.</t>
  </si>
  <si>
    <t>https://ebookcentral.proquest.com/lib/nclive-ebooks/detail.action?docID=256897</t>
  </si>
  <si>
    <t>The Cold War 1945-91</t>
  </si>
  <si>
    <t>Bloomsbury Publishing Plc</t>
  </si>
  <si>
    <t>Bloomsbury Academic</t>
  </si>
  <si>
    <t>Studies in European History Ser.</t>
  </si>
  <si>
    <t xml:space="preserve">Dockrill, Michael;Hopkins, Michael F.;Wilson, Peter ;Breuilly, John </t>
  </si>
  <si>
    <t>Geography/Travel; History</t>
  </si>
  <si>
    <t>D17-24.5</t>
  </si>
  <si>
    <t>909.82/5</t>
  </si>
  <si>
    <t>Cold War.</t>
  </si>
  <si>
    <t>https://ebookcentral.proquest.com/lib/nclive-ebooks/detail.action?docID=257373</t>
  </si>
  <si>
    <t>Arabic for Dummies</t>
  </si>
  <si>
    <t>For dummies</t>
  </si>
  <si>
    <t>Bouchentouf, Amine</t>
  </si>
  <si>
    <t>PJ6308.B68 2006</t>
  </si>
  <si>
    <t>Arabic language -- Textbooks for foreign speakers -- English.</t>
  </si>
  <si>
    <t>https://ebookcentral.proquest.com/lib/nclive-ebooks/detail.action?docID=258842</t>
  </si>
  <si>
    <t>Historic Cities of the Americas : An Illustrated Encyclopedia</t>
  </si>
  <si>
    <t>ABC-CLIO</t>
  </si>
  <si>
    <t>Marley, David F.</t>
  </si>
  <si>
    <t>Social Science</t>
  </si>
  <si>
    <t>HT121 -- .M37 2005eb</t>
  </si>
  <si>
    <t>Cities and towns -- America -- History -- Encyclopedias. ; City and town life -- America -- History -- Encyclopedias. ; Urbanization -- America -- History -- Encyclopedias.</t>
  </si>
  <si>
    <t>https://ebookcentral.proquest.com/lib/nclive-ebooks/detail.action?docID=265394</t>
  </si>
  <si>
    <t>Native American Issues : A Reference Handbook, Second Edition</t>
  </si>
  <si>
    <t>Thompson, William N.;Vasan, Mildred</t>
  </si>
  <si>
    <t>E98.T77 -- T56 2005eb</t>
  </si>
  <si>
    <t>973.04/97</t>
  </si>
  <si>
    <t>Indians of North America -- Politics and government -- Handbooks, manuals, etc. ; Indians of North America -- Civil rights -- Handbooks, manuals, etc. ; Indians of North America -- Legal status, laws, etc. -- Handbooks, manuals, etc.</t>
  </si>
  <si>
    <t>https://ebookcentral.proquest.com/lib/nclive-ebooks/detail.action?docID=265542</t>
  </si>
  <si>
    <t>Drums for Dummies</t>
  </si>
  <si>
    <t>Strong, Jeff</t>
  </si>
  <si>
    <t>Geography/Travel; Fine Arts</t>
  </si>
  <si>
    <t>MT662.8.S77 2006</t>
  </si>
  <si>
    <t>Drum.;Drum -- Methods -- Self-instruction.</t>
  </si>
  <si>
    <t>https://ebookcentral.proquest.com/lib/nclive-ebooks/detail.action?docID=265877</t>
  </si>
  <si>
    <t>Personal Perspectives : World War I</t>
  </si>
  <si>
    <t>Tucker, Spencer;Dowling, Timothy C.</t>
  </si>
  <si>
    <t>D521 -- .P426 2006eb</t>
  </si>
  <si>
    <t>940.4/81</t>
  </si>
  <si>
    <t>World War, 1914-1918.</t>
  </si>
  <si>
    <t>https://ebookcentral.proquest.com/lib/nclive-ebooks/detail.action?docID=266847</t>
  </si>
  <si>
    <t>Personal Perspectives : World War II</t>
  </si>
  <si>
    <t>Dowling, Timothy C.;Tucker, Spencer C.</t>
  </si>
  <si>
    <t>D743 -- .P464 2005eb</t>
  </si>
  <si>
    <t>World War, 1939-1945.</t>
  </si>
  <si>
    <t>https://ebookcentral.proquest.com/lib/nclive-ebooks/detail.action?docID=266848</t>
  </si>
  <si>
    <t>Encyclopedia of World War I : A Political, Social, and Military History</t>
  </si>
  <si>
    <t xml:space="preserve">Spencer Tucker;Roberts, Priscilla </t>
  </si>
  <si>
    <t>D510 -- .E53 2005eb</t>
  </si>
  <si>
    <t>940.3/03</t>
  </si>
  <si>
    <t>World War, 1914-1918 -- Encyclopedias. ; History, Modern -- 20th century.</t>
  </si>
  <si>
    <t>https://ebookcentral.proquest.com/lib/nclive-ebooks/detail.action?docID=267827</t>
  </si>
  <si>
    <t>World War II : A Student Encyclopedia</t>
  </si>
  <si>
    <t>Spencer Tucker;Priscilla Roberts;Tucker, Spencer C.</t>
  </si>
  <si>
    <t>D740 -- .W64 2005eb</t>
  </si>
  <si>
    <t>940.53/03</t>
  </si>
  <si>
    <t>World War, 1939-1945 -- Encyclopedias.</t>
  </si>
  <si>
    <t>https://ebookcentral.proquest.com/lib/nclive-ebooks/detail.action?docID=267828</t>
  </si>
  <si>
    <t>Deconstructing History</t>
  </si>
  <si>
    <t>Munslow, Alun</t>
  </si>
  <si>
    <t>History; Geography/Travel</t>
  </si>
  <si>
    <t>D16 -- .M963 2006eb</t>
  </si>
  <si>
    <t>Historiography. ; History -- Methodology. ; History -- Philosophy. ; Literature and history. ; Narration (Rhetoric)</t>
  </si>
  <si>
    <t>https://ebookcentral.proquest.com/lib/nclive-ebooks/detail.action?docID=268625</t>
  </si>
  <si>
    <t>Religion in World History : The Persistence of Imperial Communion</t>
  </si>
  <si>
    <t>Themes in World History Ser.</t>
  </si>
  <si>
    <t>Super, John C.;Turley, Briane K.</t>
  </si>
  <si>
    <t>Religion</t>
  </si>
  <si>
    <t>BL65.H5 -- S87 2006eb</t>
  </si>
  <si>
    <t>200/.9</t>
  </si>
  <si>
    <t>History -- Religious aspects. ; Religion -- History.</t>
  </si>
  <si>
    <t>https://ebookcentral.proquest.com/lib/nclive-ebooks/detail.action?docID=268692</t>
  </si>
  <si>
    <t>Twentieth-Century America : A Brief History</t>
  </si>
  <si>
    <t>Oxford University Press USA - OSO</t>
  </si>
  <si>
    <t>Reeves, Thomas C.</t>
  </si>
  <si>
    <t>E741.R33 2000</t>
  </si>
  <si>
    <t>Civilization, Modern -- American influences. ; United States -- History -- 20th century.</t>
  </si>
  <si>
    <t>https://ebookcentral.proquest.com/lib/nclive-ebooks/detail.action?docID=273323</t>
  </si>
  <si>
    <t>Chinese: an Essential Grammar : An Essential Grammar</t>
  </si>
  <si>
    <t>Routledge Essential Grammars Ser.</t>
  </si>
  <si>
    <t>Rimmington, Don;Yip, Po-Ching;Yip, Po-Ching</t>
  </si>
  <si>
    <t>History; Language/Linguistics</t>
  </si>
  <si>
    <t>PL1107 -- .Y57 2006eb</t>
  </si>
  <si>
    <t>Chinese language -- Textbooks for foreign speakers -- English. ; Chinese language -- Grammar.</t>
  </si>
  <si>
    <t>https://ebookcentral.proquest.com/lib/nclive-ebooks/detail.action?docID=273705</t>
  </si>
  <si>
    <t>Strategies for Sustainable Architecture</t>
  </si>
  <si>
    <t>CRC Press LLC</t>
  </si>
  <si>
    <t>Taylor &amp; Francis</t>
  </si>
  <si>
    <t>Sassi, Paola</t>
  </si>
  <si>
    <t>Architecture</t>
  </si>
  <si>
    <t>NA2542.36 -- .S26 2006eb</t>
  </si>
  <si>
    <t>Sustainable architecture</t>
  </si>
  <si>
    <t>https://ebookcentral.proquest.com/lib/nclive-ebooks/detail.action?docID=273833</t>
  </si>
  <si>
    <t>The United States in World History</t>
  </si>
  <si>
    <t>Davies, II, Edward J.</t>
  </si>
  <si>
    <t>E178 -- .D245 2006eb</t>
  </si>
  <si>
    <t>United States - Foreign relations</t>
  </si>
  <si>
    <t>https://ebookcentral.proquest.com/lib/nclive-ebooks/detail.action?docID=273866</t>
  </si>
  <si>
    <t>American Indian Languages : The Historical Linguistics of Native America</t>
  </si>
  <si>
    <t>Campbell, Lyle</t>
  </si>
  <si>
    <t>PM108 -- .C36 1997eb</t>
  </si>
  <si>
    <t>497/.012</t>
  </si>
  <si>
    <t>Indians -- Languages.;Anthropological linguistics -- America.;America -- Languages -- Classification.;America -- Languages -- History.</t>
  </si>
  <si>
    <t>https://ebookcentral.proquest.com/lib/nclive-ebooks/detail.action?docID=279663</t>
  </si>
  <si>
    <t>A Companion to Contemporary Art Since 1945</t>
  </si>
  <si>
    <t>Blackwell Companions to Art History Ser.</t>
  </si>
  <si>
    <t>Jones, Amelia;Arnold, Dana</t>
  </si>
  <si>
    <t>N6490.C65615 2006</t>
  </si>
  <si>
    <t>709.04/5</t>
  </si>
  <si>
    <t>Art, Modern -- 20th century -- History. ; Art, Modern -- 21st century -- History.</t>
  </si>
  <si>
    <t>https://ebookcentral.proquest.com/lib/nclive-ebooks/detail.action?docID=284206</t>
  </si>
  <si>
    <t>Teach Yourself VISUALLY Bass Guitar</t>
  </si>
  <si>
    <t>Williams, Ryan;Hammond, Richard;Williams, Ryan C.</t>
  </si>
  <si>
    <t>MT599.B4W55 2007</t>
  </si>
  <si>
    <t>787.87/19</t>
  </si>
  <si>
    <t>Bass guitar;Bass guitar.</t>
  </si>
  <si>
    <t>https://ebookcentral.proquest.com/lib/nclive-ebooks/detail.action?docID=284553</t>
  </si>
  <si>
    <t>Encyclopedia of the American Revolutionary War : A Political, Social, and Military History</t>
  </si>
  <si>
    <t xml:space="preserve">Fremont-Barnes, Gregory;Ryerson, Richard A.;Arnold, James R ;Wiener, </t>
  </si>
  <si>
    <t>E208 .E64 2006</t>
  </si>
  <si>
    <t>973.3;973.303;973.303 22</t>
  </si>
  <si>
    <t>United States -- History -- 1783-1815 -- Encyclopedias.;United States -- History -- 1783-1865 -- Encyclopedias.;United States -- History -- Colonial period, ca. 1600-1775 -- Encyclopedias.;United States -- History -- Revolution, 1775-1783  -- Encyclopedias.</t>
  </si>
  <si>
    <t>https://ebookcentral.proquest.com/lib/nclive-ebooks/detail.action?docID=286463</t>
  </si>
  <si>
    <t>Encyclopedia of World War II : A Political, Social, and Military History</t>
  </si>
  <si>
    <t>Tucker, Spencer C.;Pierpaoli, Paul G.</t>
  </si>
  <si>
    <t>D740 -- .E516 2005eb</t>
  </si>
  <si>
    <t>World War, 1939-1945 -- Encyclopedias. ; History, Modern -- 20th century -- Encyclopedias.</t>
  </si>
  <si>
    <t>https://ebookcentral.proquest.com/lib/nclive-ebooks/detail.action?docID=286465</t>
  </si>
  <si>
    <t>World War I : A Student Encyclopedia, Volumes 1-5</t>
  </si>
  <si>
    <t>World War I</t>
  </si>
  <si>
    <t xml:space="preserve">Tucker, Spencer C.;Roberts, Priscilla Mary ;Eisenhower, John S. D. </t>
  </si>
  <si>
    <t>D510 -- .W672 2006eb</t>
  </si>
  <si>
    <t>940.303-dc22</t>
  </si>
  <si>
    <t>https://ebookcentral.proquest.com/lib/nclive-ebooks/detail.action?docID=286488</t>
  </si>
  <si>
    <t>Learning to Read Biblical Hebrew : An Introductory Grammar</t>
  </si>
  <si>
    <t>Baylor University Press</t>
  </si>
  <si>
    <t>Ellis, Robert Ray</t>
  </si>
  <si>
    <t>PJ4567.3 .E45 2006eb</t>
  </si>
  <si>
    <t>492.4/82421</t>
  </si>
  <si>
    <t>Hebrew language.</t>
  </si>
  <si>
    <t>https://ebookcentral.proquest.com/lib/nclive-ebooks/detail.action?docID=286959</t>
  </si>
  <si>
    <t>Portuguese Phrases for Dummies</t>
  </si>
  <si>
    <t>Keller, Karen</t>
  </si>
  <si>
    <t>PC5073.K455 2007</t>
  </si>
  <si>
    <t>469.7/98;469.83421</t>
  </si>
  <si>
    <t>Portuguese language -- Conversation and phrase books -- English. ; Portuguese language.</t>
  </si>
  <si>
    <t>https://ebookcentral.proquest.com/lib/nclive-ebooks/detail.action?docID=287314</t>
  </si>
  <si>
    <t>Teach Yourself VISUALLY Knitting Design : Working from a Master Pattern to Fashion Your Own Knits</t>
  </si>
  <si>
    <t>Teach Yourself VISUALLY Consumer Ser.</t>
  </si>
  <si>
    <t>Turner, Sharon</t>
  </si>
  <si>
    <t>TT825.T87 2007</t>
  </si>
  <si>
    <t>746.432;746.432041</t>
  </si>
  <si>
    <t>Knit goods - Design;Knit goods -- Design.;Knit goods.;Knitting;Knitting -- Patterns.;Knitting.</t>
  </si>
  <si>
    <t>https://ebookcentral.proquest.com/lib/nclive-ebooks/detail.action?docID=287391</t>
  </si>
  <si>
    <t>Criminal Investigation for the Professional Investigator</t>
  </si>
  <si>
    <t>Professional Investigators Ser.</t>
  </si>
  <si>
    <t>Sonne, BCPI, CLI, Warren J.;Sonne, BCPI, CLI, Warren J.</t>
  </si>
  <si>
    <t>HV8073.S626 2006</t>
  </si>
  <si>
    <t>363.25/0973</t>
  </si>
  <si>
    <t>Criminal investigation - United States</t>
  </si>
  <si>
    <t>https://ebookcentral.proquest.com/lib/nclive-ebooks/detail.action?docID=290053</t>
  </si>
  <si>
    <t>Acute Medicine : A Handbook for Nurse Practitioners</t>
  </si>
  <si>
    <t>Wiley Series in Nursing Ser.</t>
  </si>
  <si>
    <t>Carroll, Lisa</t>
  </si>
  <si>
    <t>Nursing</t>
  </si>
  <si>
    <t>RT82.8.C37 2007</t>
  </si>
  <si>
    <t>Nurse practitioners -- Handbooks, manuals, etc. ; Internal medicine -- Handbooks, manuals, etc.</t>
  </si>
  <si>
    <t>https://ebookcentral.proquest.com/lib/nclive-ebooks/detail.action?docID=290987</t>
  </si>
  <si>
    <t>Slavery in the United States: a Social, Political, and Historical Encyclopedia [2 Volumes] : A Social, Political, and Historical Encyclopedia</t>
  </si>
  <si>
    <t>ABC-CLIO, LLC</t>
  </si>
  <si>
    <t>Rodriguez, Junius P.</t>
  </si>
  <si>
    <t>History; Social Science</t>
  </si>
  <si>
    <t>E441.S635 2007</t>
  </si>
  <si>
    <t>306.3/6209703</t>
  </si>
  <si>
    <t>Slavery -- United States -- History -- Encyclopedias. ; Slavery -- Political aspects -- United States -- History -- Encyclopedias. ; Slavery -- Social aspects -- United States -- History -- Encyclopedias. ; United States -- Biography -- Encyclopedias.</t>
  </si>
  <si>
    <t>https://ebookcentral.proquest.com/lib/nclive-ebooks/detail.action?docID=291211</t>
  </si>
  <si>
    <t>The Five Dysfunctions of a Team : A Leadership Fable, 20th Anniversary Edition</t>
  </si>
  <si>
    <t>HD66.L456 2002</t>
  </si>
  <si>
    <t>658.4/036</t>
  </si>
  <si>
    <t>Teams in the workplace. ; Leadership.</t>
  </si>
  <si>
    <t>https://ebookcentral.proquest.com/lib/nclive-ebooks/detail.action?docID=292516</t>
  </si>
  <si>
    <t>Community Policing in America</t>
  </si>
  <si>
    <t>Wilson, Jeremy M.</t>
  </si>
  <si>
    <t>HV7936.C6 W55 2006eb</t>
  </si>
  <si>
    <t>Community policing.;Police administration.</t>
  </si>
  <si>
    <t>https://ebookcentral.proquest.com/lib/nclive-ebooks/detail.action?docID=293640</t>
  </si>
  <si>
    <t>Encyclopedia of American Jewish History [2 Volumes]</t>
  </si>
  <si>
    <t>American Ethnic Experience Ser.</t>
  </si>
  <si>
    <t>Norwood, Stephen H.;Pollack, Eunice G.</t>
  </si>
  <si>
    <t>E184.35.E53 2008</t>
  </si>
  <si>
    <t>973/.04924</t>
  </si>
  <si>
    <t>Jews -- United States -- History -- Encyclopedias. ; Jews -- United States -- History.</t>
  </si>
  <si>
    <t>https://ebookcentral.proquest.com/lib/nclive-ebooks/detail.action?docID=305248</t>
  </si>
  <si>
    <t>The Syntax of French</t>
  </si>
  <si>
    <t>Cambridge Syntax Guides</t>
  </si>
  <si>
    <t>Rowlett, Paul</t>
  </si>
  <si>
    <t>PC2361 .R69 2007</t>
  </si>
  <si>
    <t>French language--Syntax</t>
  </si>
  <si>
    <t>https://ebookcentral.proquest.com/lib/nclive-ebooks/detail.action?docID=307046</t>
  </si>
  <si>
    <t>An Atlas of World Affairs</t>
  </si>
  <si>
    <t>Boyd, Andrew;Comenetz, Joshua</t>
  </si>
  <si>
    <t>Geography/Travel</t>
  </si>
  <si>
    <t>G1035 -- .B6 2007eb</t>
  </si>
  <si>
    <t>History, Modern -- 1989- ; Historical geography -- Maps.</t>
  </si>
  <si>
    <t>https://ebookcentral.proquest.com/lib/nclive-ebooks/detail.action?docID=308666</t>
  </si>
  <si>
    <t>Three Signs of a Miserable Job : A Fable for Managers (And Their Employees)</t>
  </si>
  <si>
    <t>Wiley</t>
  </si>
  <si>
    <t>J-B Lencioni Series</t>
  </si>
  <si>
    <t>Lencioni, Patrick M.</t>
  </si>
  <si>
    <t>HF5549.5.J63 -- L46 2007eb</t>
  </si>
  <si>
    <t>658.3/128</t>
  </si>
  <si>
    <t>Job satisfaction.;Career development.;Employee motivation.</t>
  </si>
  <si>
    <t>https://ebookcentral.proquest.com/lib/nclive-ebooks/detail.action?docID=309812</t>
  </si>
  <si>
    <t>Sustainable Living: the Role of Whole Life Costs and Values : the Role of Whole Life Costs and Values</t>
  </si>
  <si>
    <t>Mithraratne, Nalanie;Vale, Brenda;Vale, Robert</t>
  </si>
  <si>
    <t>Environmental Studies; Military Science</t>
  </si>
  <si>
    <t>GF78 -- .M58 2007eb</t>
  </si>
  <si>
    <t>Sustainable buildings. ; Sustainable architecture.</t>
  </si>
  <si>
    <t>https://ebookcentral.proquest.com/lib/nclive-ebooks/detail.action?docID=311397</t>
  </si>
  <si>
    <t>Knitting VISUAL Quick Tips</t>
  </si>
  <si>
    <t>Visual Quick Tips Ser.</t>
  </si>
  <si>
    <t>TT820.T877 2007</t>
  </si>
  <si>
    <t>Knitting;Knitting.</t>
  </si>
  <si>
    <t>https://ebookcentral.proquest.com/lib/nclive-ebooks/detail.action?docID=312190</t>
  </si>
  <si>
    <t>Russian Phrases for Dummies</t>
  </si>
  <si>
    <t>PG2003.K38 2007</t>
  </si>
  <si>
    <t>Russian language -- Conversation and phrase books -- English.</t>
  </si>
  <si>
    <t>https://ebookcentral.proquest.com/lib/nclive-ebooks/detail.action?docID=312204</t>
  </si>
  <si>
    <t>Teach Yourself VISUALLY Jewelry Making and Beading</t>
  </si>
  <si>
    <t>Michaels, Chris Franchetti;Michaels, Chris Franchetti</t>
  </si>
  <si>
    <t>TT212 -- .M496 2007eb</t>
  </si>
  <si>
    <t>Jewelry making. ; Beadwork.</t>
  </si>
  <si>
    <t>https://ebookcentral.proquest.com/lib/nclive-ebooks/detail.action?docID=315174</t>
  </si>
  <si>
    <t>Structure and Function of the Arabic Verb</t>
  </si>
  <si>
    <t>Routledge Arabic Linguistics Ser.</t>
  </si>
  <si>
    <t>Bahloul, Maher</t>
  </si>
  <si>
    <t>PJ6145 -- .B34 2007eb</t>
  </si>
  <si>
    <t>Arabic language -- Verb. ; Semitic languages.</t>
  </si>
  <si>
    <t>https://ebookcentral.proquest.com/lib/nclive-ebooks/detail.action?docID=324852</t>
  </si>
  <si>
    <t>Arabic-English Thematic Lexicon</t>
  </si>
  <si>
    <t>Newman, Daniel L.</t>
  </si>
  <si>
    <t>PJ6640 -- .N46 2007eb</t>
  </si>
  <si>
    <t>Arabic language - English</t>
  </si>
  <si>
    <t>https://ebookcentral.proquest.com/lib/nclive-ebooks/detail.action?docID=324931</t>
  </si>
  <si>
    <t>Fifty Key Thinkers on History</t>
  </si>
  <si>
    <t>Routledge Key Guides</t>
  </si>
  <si>
    <t>Hughes-Warrington, Marnie;Hughes-Warrington, Marnie</t>
  </si>
  <si>
    <t>D13 -- .H84 2008eb</t>
  </si>
  <si>
    <t>Historiography.;History.</t>
  </si>
  <si>
    <t>https://ebookcentral.proquest.com/lib/nclive-ebooks/detail.action?docID=325125</t>
  </si>
  <si>
    <t>A Frequency Dictionary of Portuguese</t>
  </si>
  <si>
    <t>Routledge Frequency Dictionaries Ser.</t>
  </si>
  <si>
    <t>Davies, Mark;Preto-Bay, Ana Maria Raposo</t>
  </si>
  <si>
    <t>PC5348 -- .D38 2007eb</t>
  </si>
  <si>
    <t>Portuguese language - Word frequency</t>
  </si>
  <si>
    <t>https://ebookcentral.proquest.com/lib/nclive-ebooks/detail.action?docID=325301</t>
  </si>
  <si>
    <t>Real Project Planning: Developing a Project Delivery Strategy</t>
  </si>
  <si>
    <t>Elsevier Science &amp; Technology</t>
  </si>
  <si>
    <t>Butterworth-Heinemann</t>
  </si>
  <si>
    <t>Melton, Trish</t>
  </si>
  <si>
    <t>HD69.P75R43 2008</t>
  </si>
  <si>
    <t>Project management. ; Participatory monitoring and evaluation (Project management)</t>
  </si>
  <si>
    <t>https://ebookcentral.proquest.com/lib/nclive-ebooks/detail.action?docID=328329</t>
  </si>
  <si>
    <t>Daily Life along the Mississippi</t>
  </si>
  <si>
    <t>Greenwood Publishing Group</t>
  </si>
  <si>
    <t>Pabis, George S.</t>
  </si>
  <si>
    <t>F351 -- .P22 2007eb</t>
  </si>
  <si>
    <t>River life -- Mississippi River Valley -- History. ; Country life -- Mississippi River Valley -- History. ; City and town life -- Mississippi River Valley -- History. ; Mississippi River Valley -- Social life and customs. ; Mississippi River Valley -- Social conditions. ; Mississippi River -- History.</t>
  </si>
  <si>
    <t>https://ebookcentral.proquest.com/lib/nclive-ebooks/detail.action?docID=329091</t>
  </si>
  <si>
    <t>Daily Life in Immigrant America, 1820-1870</t>
  </si>
  <si>
    <t>Bergquist, James M.</t>
  </si>
  <si>
    <t>Political Science; Social Science</t>
  </si>
  <si>
    <t>JV6453 -- .B47 2008eb</t>
  </si>
  <si>
    <t>305.9/06912097309034</t>
  </si>
  <si>
    <t>Immigrants -- United States -- Social life and customs -- 19th century. ; United States -- Emigration and immigration -- History -- 19th century.</t>
  </si>
  <si>
    <t>https://ebookcentral.proquest.com/lib/nclive-ebooks/detail.action?docID=329113</t>
  </si>
  <si>
    <t>Leadership: Fifty Great Leaders and the Worlds They Made : Fifty Great Leaders and the Worlds They Made</t>
  </si>
  <si>
    <t>Greenwood</t>
  </si>
  <si>
    <t>Polelle, Mark Robert</t>
  </si>
  <si>
    <t>D21.3.P58 2008</t>
  </si>
  <si>
    <t>History -- Miscellanea. ; Leadership. ; Biography. ; Heads of state -- Biography. ; Statesmen -- Biography. ; Intellectuals -- Biography. ; Revolutionaries -- Biography.</t>
  </si>
  <si>
    <t>https://ebookcentral.proquest.com/lib/nclive-ebooks/detail.action?docID=329148</t>
  </si>
  <si>
    <t>Culture and Customs of the United States [2 Volumes]</t>
  </si>
  <si>
    <t>Cultures and Customs of the World Ser.</t>
  </si>
  <si>
    <t>Shearer, Benjamin F.</t>
  </si>
  <si>
    <t>E169.1.C843 2008</t>
  </si>
  <si>
    <t>United States -- Civilization. ; United States -- Social life and customs. ; United States -- Social conditions.</t>
  </si>
  <si>
    <t>https://ebookcentral.proquest.com/lib/nclive-ebooks/detail.action?docID=329204</t>
  </si>
  <si>
    <t>Encyclopedia of the Age of Imperialism, 1800-1914 [Two Volumes]</t>
  </si>
  <si>
    <t>Hodge, Carl Cavanagh</t>
  </si>
  <si>
    <t>D358 -- .E53 2008eb</t>
  </si>
  <si>
    <t>History, Modern -- 19th century -- Chronology -- Encyclopedias. ; Great powers -- History -- 19th century -- Chronology -- Encyclopedias. ; Great powers -- History -- 20th century -- Chronology -- Encyclopedias. ; Europe -- History -- 1789-1900 -- Chronology -- Encyclopedias. ; Europe -- History -- 1871-1918 -- Chronology -- Encyclopedias.</t>
  </si>
  <si>
    <t>https://ebookcentral.proquest.com/lib/nclive-ebooks/detail.action?docID=329206</t>
  </si>
  <si>
    <t>Encyclopedia of Gangs</t>
  </si>
  <si>
    <t>Kontos, Louis;Brotherton, David C.</t>
  </si>
  <si>
    <t>Fine Arts; Social Science</t>
  </si>
  <si>
    <t>HV6439.U5E53 2008</t>
  </si>
  <si>
    <t>Gangs -- United States -- Encyclopedias. ; Gangs -- Encyclopedias.</t>
  </si>
  <si>
    <t>https://ebookcentral.proquest.com/lib/nclive-ebooks/detail.action?docID=329219</t>
  </si>
  <si>
    <t>Encyclopedia of the Age of Political Revolutions and New Ideologies, 1760-1815 [Two Volumes]</t>
  </si>
  <si>
    <t>Fremont-Barnes, Gregory</t>
  </si>
  <si>
    <t>D295 -- .E53 2007eb</t>
  </si>
  <si>
    <t>World politics -- To 1900 -- Encyclopedias. ; Revolutions -- History -- Encyclopedias. ; Antislavery movements -- History -- Encyclopedias. ; Europe -- Politics and government -- 18th century -- Encyclopedias. ; Europe -- Politics and government -- 1789-1815 -- Encyclopedias.</t>
  </si>
  <si>
    <t>https://ebookcentral.proquest.com/lib/nclive-ebooks/detail.action?docID=329243</t>
  </si>
  <si>
    <t>Acting in Musical Theatre : A Comprehensive Course</t>
  </si>
  <si>
    <t>Deer, Joe;Dal Vera, Rocco</t>
  </si>
  <si>
    <t>MT956 -- .D44 2008eb</t>
  </si>
  <si>
    <t>Acting in musical theater</t>
  </si>
  <si>
    <t>https://ebookcentral.proquest.com/lib/nclive-ebooks/detail.action?docID=330987</t>
  </si>
  <si>
    <t>Teach Yourself VISUALLY Quilting</t>
  </si>
  <si>
    <t>Hakala, Sonja</t>
  </si>
  <si>
    <t>TT835.H27 2008</t>
  </si>
  <si>
    <t>746.46/041</t>
  </si>
  <si>
    <t>Quilting.</t>
  </si>
  <si>
    <t>https://ebookcentral.proquest.com/lib/nclive-ebooks/detail.action?docID=331381</t>
  </si>
  <si>
    <t>Painting Do-it-Yourself for Dummies</t>
  </si>
  <si>
    <t xml:space="preserve">McMillan, Katharine Kaye;McMillan, Patricia Hart;McMillan, Katherine Kaye </t>
  </si>
  <si>
    <t>Engineering; Fine Arts; Engineering: Construction</t>
  </si>
  <si>
    <t>TT323.M36 2008</t>
  </si>
  <si>
    <t>House painting -- Amateurs' manuals.;Furniture painting -- Amateurs' manuals.</t>
  </si>
  <si>
    <t>https://ebookcentral.proquest.com/lib/nclive-ebooks/detail.action?docID=331422</t>
  </si>
  <si>
    <t>Teach Yourself VISUALLY Drawing : Drawing</t>
  </si>
  <si>
    <t>Fisher, Dean;Robinson, Josephine</t>
  </si>
  <si>
    <t>NC730.F57 2008</t>
  </si>
  <si>
    <t>Drawing -- Study and teaching.;Art -- Study and teaching.</t>
  </si>
  <si>
    <t>https://ebookcentral.proquest.com/lib/nclive-ebooks/detail.action?docID=331470</t>
  </si>
  <si>
    <t>Manga Studio for Dummies</t>
  </si>
  <si>
    <t>Hills, Doug;Rhodes, Michael</t>
  </si>
  <si>
    <t>Engineering; Computer Science/IT; Fine Arts; Engineering: General</t>
  </si>
  <si>
    <t>T385.H55 2008</t>
  </si>
  <si>
    <t>741.5/10285536</t>
  </si>
  <si>
    <t>Manga Studio (Computer file) ; Comic books, strips, etc. -- Japan -- Technique. ; Computer graphics.</t>
  </si>
  <si>
    <t>https://ebookcentral.proquest.com/lib/nclive-ebooks/detail.action?docID=331545</t>
  </si>
  <si>
    <t>Oil Painting for Dummies</t>
  </si>
  <si>
    <t>Giddings, Anita Marie;Clifton, Sherry Stone;Giddings, Anita Marie;Clifton, Sherry Stone</t>
  </si>
  <si>
    <t>ND1500.G53 2008</t>
  </si>
  <si>
    <t>Painting -- Technique. ; Art.</t>
  </si>
  <si>
    <t>https://ebookcentral.proquest.com/lib/nclive-ebooks/detail.action?docID=331671</t>
  </si>
  <si>
    <t>Watercolor Painting for Dummies</t>
  </si>
  <si>
    <t>Pitcher, Colette</t>
  </si>
  <si>
    <t>ND2420.P58 2008</t>
  </si>
  <si>
    <t>Watercolor painting -- Technique.;Painting.</t>
  </si>
  <si>
    <t>https://ebookcentral.proquest.com/lib/nclive-ebooks/detail.action?docID=331672</t>
  </si>
  <si>
    <t>Music Composition for Dummies</t>
  </si>
  <si>
    <t>Jarrett, Scott;Day, Holly</t>
  </si>
  <si>
    <t>MT40.J37 2008</t>
  </si>
  <si>
    <t>Composition (Music) ; Music theory.</t>
  </si>
  <si>
    <t>https://ebookcentral.proquest.com/lib/nclive-ebooks/detail.action?docID=331676</t>
  </si>
  <si>
    <t>Criminal Justice Theory : Explaining the Nature and Behavior of Criminal Justice</t>
  </si>
  <si>
    <t>Criminology and Justice Studies</t>
  </si>
  <si>
    <t>Maguire, Edward R.;Duffee, David E.</t>
  </si>
  <si>
    <t>HV7419.C753 2007</t>
  </si>
  <si>
    <t>Criminal justice, Administration of - Philosophy;Criminal justice, Administration of.</t>
  </si>
  <si>
    <t>https://ebookcentral.proquest.com/lib/nclive-ebooks/detail.action?docID=333192</t>
  </si>
  <si>
    <t>Eating Disorders for Dummies</t>
  </si>
  <si>
    <t>Schulherr, Susan</t>
  </si>
  <si>
    <t>Medicine; Psychology</t>
  </si>
  <si>
    <t>RC552.E18S38 2008</t>
  </si>
  <si>
    <t>Eating disorders -- Popular works. ; Eating disorders -- Treatment -- Popular works.</t>
  </si>
  <si>
    <t>https://ebookcentral.proquest.com/lib/nclive-ebooks/detail.action?docID=333748</t>
  </si>
  <si>
    <t>Intermediate German for Dummies</t>
  </si>
  <si>
    <t>Wendy Foster</t>
  </si>
  <si>
    <t>PF3121.C47 2008</t>
  </si>
  <si>
    <t>German language -- Textbooks for foreign speakers -- English. ; German language -- Problems, exercises, etc. ; German language -- Spoken German.</t>
  </si>
  <si>
    <t>https://ebookcentral.proquest.com/lib/nclive-ebooks/detail.action?docID=333773</t>
  </si>
  <si>
    <t>Criminal Justice</t>
  </si>
  <si>
    <t>SAGE Publications, Limited</t>
  </si>
  <si>
    <t>SAGE Course Companions Ser.</t>
  </si>
  <si>
    <t>Smartt, Ursula</t>
  </si>
  <si>
    <t>HV9960.G7S63 2006</t>
  </si>
  <si>
    <t>Criminal justice, Administration of - Study and teaching</t>
  </si>
  <si>
    <t>https://ebookcentral.proquest.com/lib/nclive-ebooks/detail.action?docID=334354</t>
  </si>
  <si>
    <t>Dictionary of World History</t>
  </si>
  <si>
    <t>Hodder &amp; Stoughton</t>
  </si>
  <si>
    <t>Chambers</t>
  </si>
  <si>
    <t>Marsden, Hilary</t>
  </si>
  <si>
    <t>D9</t>
  </si>
  <si>
    <t>History -- Dictionaries.;History.;World history.</t>
  </si>
  <si>
    <t>https://ebookcentral.proquest.com/lib/nclive-ebooks/detail.action?docID=336400</t>
  </si>
  <si>
    <t>Harrap's Pardon my Spanish : Pocket Spanish Slang Dictionary</t>
  </si>
  <si>
    <t>Harrap</t>
  </si>
  <si>
    <t>Blasco, Joaquín;Gálvez, José A.</t>
  </si>
  <si>
    <t>PC4971</t>
  </si>
  <si>
    <t>Spanish language.</t>
  </si>
  <si>
    <t>Spanish; Castilian</t>
  </si>
  <si>
    <t>https://ebookcentral.proquest.com/lib/nclive-ebooks/detail.action?docID=336404</t>
  </si>
  <si>
    <t>Harrap's Pardon my French : Pocket French Slang Dictionary</t>
  </si>
  <si>
    <t>Nicholson, Kate;Pilard, Georges</t>
  </si>
  <si>
    <t>French</t>
  </si>
  <si>
    <t>https://ebookcentral.proquest.com/lib/nclive-ebooks/detail.action?docID=336407</t>
  </si>
  <si>
    <t>Alzheimer's &amp; Other Dementias : Answers at Your Fingertips</t>
  </si>
  <si>
    <t>Class Publishing (London) Ltd</t>
  </si>
  <si>
    <t>Class Health</t>
  </si>
  <si>
    <t>Cayton, Harry;Graham, Dr Nori;Warner, Dr James</t>
  </si>
  <si>
    <t>RC523 -- .C39 2008eb</t>
  </si>
  <si>
    <t>Alzheimer's disease. ; Dementia.</t>
  </si>
  <si>
    <t>https://ebookcentral.proquest.com/lib/nclive-ebooks/detail.action?docID=338796</t>
  </si>
  <si>
    <t>Race Relations in the United States, 1920-1940</t>
  </si>
  <si>
    <t>Race Relations in the United States</t>
  </si>
  <si>
    <t>Tischauser, Leslie V.</t>
  </si>
  <si>
    <t>E184.A1 -- T585 2008eb</t>
  </si>
  <si>
    <t>Computer games -- Programming. ; Fantasy games -- Design and construction.</t>
  </si>
  <si>
    <t>https://ebookcentral.proquest.com/lib/nclive-ebooks/detail.action?docID=339330</t>
  </si>
  <si>
    <t>Getting the Best for Your Child with Autism : An Expert's Guide to Treatment</t>
  </si>
  <si>
    <t>Guilford Publications</t>
  </si>
  <si>
    <t>Guilford Press, The</t>
  </si>
  <si>
    <t>Siegel, Bryna</t>
  </si>
  <si>
    <t>Home Economics; Medicine; Psychology</t>
  </si>
  <si>
    <t>RJ506.A9S528 2008</t>
  </si>
  <si>
    <t>649/.154</t>
  </si>
  <si>
    <t>Autism in children - Treatment</t>
  </si>
  <si>
    <t>https://ebookcentral.proquest.com/lib/nclive-ebooks/detail.action?docID=340797</t>
  </si>
  <si>
    <t>Treating the Juvenile Offender</t>
  </si>
  <si>
    <t>Hoge, Robert D.;Guerra, Nancy G.;Boxer, Paul</t>
  </si>
  <si>
    <t>HV9104</t>
  </si>
  <si>
    <t>Juvenile delinquency -- Treatment -- United States. ; Juvenile delinquency -- United States -- Prevention. ; Problem youth -- United States -- Psychology.</t>
  </si>
  <si>
    <t>https://ebookcentral.proquest.com/lib/nclive-ebooks/detail.action?docID=340804</t>
  </si>
  <si>
    <t>Justice and Science : Trials and Triumphs of DNA Evidence</t>
  </si>
  <si>
    <t>Rutgers University Press</t>
  </si>
  <si>
    <t>Clarke, George;Reno, Janet</t>
  </si>
  <si>
    <t>Social Science; Law</t>
  </si>
  <si>
    <t>KF373</t>
  </si>
  <si>
    <t>363.25/6</t>
  </si>
  <si>
    <t>https://ebookcentral.proquest.com/lib/nclive-ebooks/detail.action?docID=340809</t>
  </si>
  <si>
    <t>A Dictionary of Chinese Characters : Accessed by Phonetics</t>
  </si>
  <si>
    <t>Paton, Stewart</t>
  </si>
  <si>
    <t>PL1171 -- .P285 2008eb</t>
  </si>
  <si>
    <t>495.1/321</t>
  </si>
  <si>
    <t>Chinese characters</t>
  </si>
  <si>
    <t>https://ebookcentral.proquest.com/lib/nclive-ebooks/detail.action?docID=342951</t>
  </si>
  <si>
    <t>Encyclopedia of North American Colonial Conflicts to 1775 : A Political, Social, and Military History</t>
  </si>
  <si>
    <t>Tucker, Spencer;Arnold, James;Wiener, Roberta</t>
  </si>
  <si>
    <t>E181 -- .E6315 2008eb</t>
  </si>
  <si>
    <t>Indians of North America -- Wars -- 1600-1750 -- Encyclopedias. ; Indians of North America -- Wars -- 1750-1815 -- Encyclopedias. ; Frontier and pioneer life -- North America -- Encyclopedias. ; United States -- History, Military -- 17th century -- Encyclopedias. ; United States -- History, Military -- 18th century -- Encyclopedias. ; United States -- Politics and government -- To 1775 -- Encyclopedias. ; United States -- Social conditions -- To 1865 -- Encyclopedias.</t>
  </si>
  <si>
    <t>https://ebookcentral.proquest.com/lib/nclive-ebooks/detail.action?docID=343389</t>
  </si>
  <si>
    <t>International History of the Twentieth Century and Beyond</t>
  </si>
  <si>
    <t>Best, Antony;Hanhimaki, Jussi;Maiolo, Joseph A.</t>
  </si>
  <si>
    <t>D443 .I57 2008</t>
  </si>
  <si>
    <t>World politics - 20th century;World politics -- 20th century.;World politics - 21st century;World politics -- 21st century.;World politics.</t>
  </si>
  <si>
    <t>https://ebookcentral.proquest.com/lib/nclive-ebooks/detail.action?docID=343991</t>
  </si>
  <si>
    <t>En Activo: Practical Business Spanish : Practical Business Spanish</t>
  </si>
  <si>
    <t>Santamaria Iglesias, Esther;Jones, Helen</t>
  </si>
  <si>
    <t>PC4120.C6 -- S26 2008eb</t>
  </si>
  <si>
    <t>Spanish language</t>
  </si>
  <si>
    <t>https://ebookcentral.proquest.com/lib/nclive-ebooks/detail.action?docID=345068</t>
  </si>
  <si>
    <t>Criminology: the Key Concepts : The Key Concepts</t>
  </si>
  <si>
    <t>O'Brien, Martin;Yar, Majid</t>
  </si>
  <si>
    <t>HV6025 -- .O27 2008eb</t>
  </si>
  <si>
    <t>Criminology</t>
  </si>
  <si>
    <t>https://ebookcentral.proquest.com/lib/nclive-ebooks/detail.action?docID=348458</t>
  </si>
  <si>
    <t>Gettysburg Heroes : Perfect Soldiers, Hallowed Ground</t>
  </si>
  <si>
    <t>Indiana University Press</t>
  </si>
  <si>
    <t>LaFantasie, Glenn W.</t>
  </si>
  <si>
    <t>E475.53.L235 2008</t>
  </si>
  <si>
    <t>973.7/349</t>
  </si>
  <si>
    <t>Gettysburg, Battle of, Gettysburg, Pa., 1863 -- Influence. ; Gettysburg, Battle of, Gettysburg, Pa., 1863 -- Biography. ; Generals -- United States -- Biography. ; Soldiers -- United States -- Biography. ; Gettysburg, Battle of, Gettysburg, Pa., 1863 -- Social aspects. ; United States -- History -- Civil War, 1861-1865 -- Biography. ; United States -- History -- Civil War, 1861-1865 -- Social aspects.</t>
  </si>
  <si>
    <t>https://ebookcentral.proquest.com/lib/nclive-ebooks/detail.action?docID=348674</t>
  </si>
  <si>
    <t>Beating Eating Disorders Step by Step : A Self-Help Guide for Recovery</t>
  </si>
  <si>
    <t>Jessica Kingsley Publishers</t>
  </si>
  <si>
    <t>Paterson, Anna</t>
  </si>
  <si>
    <t>Psychology; Medicine</t>
  </si>
  <si>
    <t>RC552.E18P38 2008</t>
  </si>
  <si>
    <t>616.85/2606</t>
  </si>
  <si>
    <t>Eating disorders -- Treatment. ; Internal medicine.</t>
  </si>
  <si>
    <t>https://ebookcentral.proquest.com/lib/nclive-ebooks/detail.action?docID=350324</t>
  </si>
  <si>
    <t>Cancer and its Management</t>
  </si>
  <si>
    <t>Souhami, Robert;Tobias, Jeffrey</t>
  </si>
  <si>
    <t>Medicine</t>
  </si>
  <si>
    <t>RC270.8.S68 2005</t>
  </si>
  <si>
    <t>Cancer -- Treatment.;Cancer -- Diagnosis.</t>
  </si>
  <si>
    <t>https://ebookcentral.proquest.com/lib/nclive-ebooks/detail.action?docID=350985</t>
  </si>
  <si>
    <t>Psychology in Prisons</t>
  </si>
  <si>
    <t>Towl, Graham J.;Towl, Graham</t>
  </si>
  <si>
    <t>Health; Social Science</t>
  </si>
  <si>
    <t>RA1148.P785 2003</t>
  </si>
  <si>
    <t>365/.66</t>
  </si>
  <si>
    <t>Forensic psychology -- Great Britain. ; Prison psychology -- Great Britain.</t>
  </si>
  <si>
    <t>https://ebookcentral.proquest.com/lib/nclive-ebooks/detail.action?docID=351385</t>
  </si>
  <si>
    <t>The Care of Wounds : A Guide for Nurses</t>
  </si>
  <si>
    <t>Dealey, Carol</t>
  </si>
  <si>
    <t>RD93.95.D43 2005</t>
  </si>
  <si>
    <t>Wounds and injuries -- Nursing.</t>
  </si>
  <si>
    <t>https://ebookcentral.proquest.com/lib/nclive-ebooks/detail.action?docID=351527</t>
  </si>
  <si>
    <t>The Civil War Era : An Anthology of Sources</t>
  </si>
  <si>
    <t>Cullen-Sizer, Lyde;Cullen, Jim;Cullen-Sizer, Lyde</t>
  </si>
  <si>
    <t>E464.C47 2005</t>
  </si>
  <si>
    <t>United States -- History -- Civil War, 1861-1865 -- Sources.</t>
  </si>
  <si>
    <t>https://ebookcentral.proquest.com/lib/nclive-ebooks/detail.action?docID=351529</t>
  </si>
  <si>
    <t>The Informed Practice Nurse</t>
  </si>
  <si>
    <t>Edwards, Marilyn</t>
  </si>
  <si>
    <t>RT82.8.I53 2008</t>
  </si>
  <si>
    <t>Nurse practitioners -- Great Britain. ; Primary care (Medicine) -- Great Britain.</t>
  </si>
  <si>
    <t>https://ebookcentral.proquest.com/lib/nclive-ebooks/detail.action?docID=351561</t>
  </si>
  <si>
    <t>Understanding Historic Building Conservation</t>
  </si>
  <si>
    <t>Historic Building Conservation Ser.</t>
  </si>
  <si>
    <t>Forsyth, Michael</t>
  </si>
  <si>
    <t>Engineering: Construction; Architecture; Engineering</t>
  </si>
  <si>
    <t>TH3301.U57 2007</t>
  </si>
  <si>
    <t>Historic buildings -- Conservation and restoration. ; Architecture.</t>
  </si>
  <si>
    <t>https://ebookcentral.proquest.com/lib/nclive-ebooks/detail.action?docID=351634</t>
  </si>
  <si>
    <t>Clinical Handbook of Schizophrenia</t>
  </si>
  <si>
    <t>Mueser, Kim T.;Jeste, Dilip V.</t>
  </si>
  <si>
    <t>RC514</t>
  </si>
  <si>
    <t>616.89/8</t>
  </si>
  <si>
    <t>Schizophrenia</t>
  </si>
  <si>
    <t>https://ebookcentral.proquest.com/lib/nclive-ebooks/detail.action?docID=352273</t>
  </si>
  <si>
    <t>What Works for Bipolar Kids : Help and Hope for Parents</t>
  </si>
  <si>
    <t>Pavuluri, Mani;Resko, Susan</t>
  </si>
  <si>
    <t>RJ506.D4P38 2008</t>
  </si>
  <si>
    <t>618.92/895</t>
  </si>
  <si>
    <t>Manic-depressive illness in children</t>
  </si>
  <si>
    <t>https://ebookcentral.proquest.com/lib/nclive-ebooks/detail.action?docID=352291</t>
  </si>
  <si>
    <t>The ADD / ADHD Checklist : A Practical Reference for Parents and Teachers</t>
  </si>
  <si>
    <t>J-B Ed: Checklist Ser.</t>
  </si>
  <si>
    <t>Rief, Sandra F.;Rief, M.A., Sandra F</t>
  </si>
  <si>
    <t>RJ506.H9 -- R54 2008eb</t>
  </si>
  <si>
    <t>Attention-deficit-disordered children -- Popular works. ; Attention-deficit-disordered children -- Education. ; Attention-deficit-disordered children -- Behavior modification.</t>
  </si>
  <si>
    <t>https://ebookcentral.proquest.com/lib/nclive-ebooks/detail.action?docID=353347</t>
  </si>
  <si>
    <t>Paper Crafts VISUAL Quick Tips</t>
  </si>
  <si>
    <t>TT870 -- .L834 2008eb</t>
  </si>
  <si>
    <t>Paper work -- Patterns.;Paper work.</t>
  </si>
  <si>
    <t>https://ebookcentral.proquest.com/lib/nclive-ebooks/detail.action?docID=353429</t>
  </si>
  <si>
    <t>Depression in Children and Adolescents</t>
  </si>
  <si>
    <t>Dwivedi, Kedar Nath;Varma, Ved Prakash</t>
  </si>
  <si>
    <t>RJ506.D4 -- D47 1997eb</t>
  </si>
  <si>
    <t>618.9/2/8527</t>
  </si>
  <si>
    <t>Depression in children. ; Depression in adolescence.</t>
  </si>
  <si>
    <t>https://ebookcentral.proquest.com/lib/nclive-ebooks/detail.action?docID=354712</t>
  </si>
  <si>
    <t>Arabic: an Essential Grammar : An Essential Grammar</t>
  </si>
  <si>
    <t>Abu-Chacra, Faruk;Abu-Chacra, Faruk</t>
  </si>
  <si>
    <t>PJ6307 -- .A384 2007eb</t>
  </si>
  <si>
    <t>Arabic language -- Textbooks for foreign speakers -- English.;Semitic languages.</t>
  </si>
  <si>
    <t>https://ebookcentral.proquest.com/lib/nclive-ebooks/detail.action?docID=355957</t>
  </si>
  <si>
    <t>Art History: the Key Concepts : The Key Concepts</t>
  </si>
  <si>
    <t>Harris, Jonathan</t>
  </si>
  <si>
    <t>N5300 -- .H278 2006eb</t>
  </si>
  <si>
    <t>Art - History</t>
  </si>
  <si>
    <t>https://ebookcentral.proquest.com/lib/nclive-ebooks/detail.action?docID=355959</t>
  </si>
  <si>
    <t>A Short History of Film</t>
  </si>
  <si>
    <t>Foster, Gwendolyn Audrey;Dixon, Wheeler Winston;Dixon, Wheeler Winston</t>
  </si>
  <si>
    <t>PN1993</t>
  </si>
  <si>
    <t>791.43/7</t>
  </si>
  <si>
    <t>Motion pictures -- History.;Motion picture industry -- History.</t>
  </si>
  <si>
    <t>https://ebookcentral.proquest.com/lib/nclive-ebooks/detail.action?docID=358310</t>
  </si>
  <si>
    <t>Leading IT Projects : The IT Manager's Guide</t>
  </si>
  <si>
    <t>Auerbach Publishers, Incorporated</t>
  </si>
  <si>
    <t>Keyes, Jessica</t>
  </si>
  <si>
    <t>Business/Management; Computer Science/IT</t>
  </si>
  <si>
    <t>HD69.P75K512 2009</t>
  </si>
  <si>
    <t>004.068/4</t>
  </si>
  <si>
    <t>Information technology -- Management. ; Project management. ; Strategic planning.</t>
  </si>
  <si>
    <t>https://ebookcentral.proquest.com/lib/nclive-ebooks/detail.action?docID=359995</t>
  </si>
  <si>
    <t>North Carolina : The Tar Heel State</t>
  </si>
  <si>
    <t>Encyclopaedia Britannica, Incorporated</t>
  </si>
  <si>
    <t>Encyclopaedia Britannica, Inc.</t>
  </si>
  <si>
    <t>Discover America, v.33</t>
  </si>
  <si>
    <t>Weigl Publishers, Inc.</t>
  </si>
  <si>
    <t>F252.3 -- .N8 2008eb</t>
  </si>
  <si>
    <t>Tourism -- North Carolina. ; North Carolina -- Description and travel.</t>
  </si>
  <si>
    <t>https://ebookcentral.proquest.com/lib/nclive-ebooks/detail.action?docID=361996</t>
  </si>
  <si>
    <t>Fact Index</t>
  </si>
  <si>
    <t>Discover America, v.51</t>
  </si>
  <si>
    <t>General Works/Reference; History</t>
  </si>
  <si>
    <t>E169.Z83 -- .F56 2008eb</t>
  </si>
  <si>
    <t>Tourism -- United States. ; United States -- Description and travel.</t>
  </si>
  <si>
    <t>https://ebookcentral.proquest.com/lib/nclive-ebooks/detail.action?docID=362014</t>
  </si>
  <si>
    <t>Socializing Identities Through Speech Style : Learners of Japanese As a Foreign Language</t>
  </si>
  <si>
    <t>Multilingual Matters</t>
  </si>
  <si>
    <t>Second Language Acquisition Ser.</t>
  </si>
  <si>
    <t>Cook, Haruko Minegishi</t>
  </si>
  <si>
    <t>PL524.75 -- .C65 2008eb</t>
  </si>
  <si>
    <t>495.6/8007</t>
  </si>
  <si>
    <t>Japanese language -- Social aspects. ; Japanese language -- Spoken Japanese.</t>
  </si>
  <si>
    <t>https://ebookcentral.proquest.com/lib/nclive-ebooks/detail.action?docID=370284</t>
  </si>
  <si>
    <t>Alzheimers : Professional Answers to More Than 250 Questions about Alzheimers and Dementia</t>
  </si>
  <si>
    <t>Sourcebooks, Inc.</t>
  </si>
  <si>
    <t>Answer Book</t>
  </si>
  <si>
    <t>Atkins, Charles</t>
  </si>
  <si>
    <t>RC523</t>
  </si>
  <si>
    <t>Alzheimer Disease -- diagnosis. ; Alzheimer Disease -- therapy. ; Alzheimer''s disease.</t>
  </si>
  <si>
    <t>https://ebookcentral.proquest.com/lib/nclive-ebooks/detail.action?docID=370555</t>
  </si>
  <si>
    <t>Handbook of Depression, Second Edition</t>
  </si>
  <si>
    <t>The Guilford Press</t>
  </si>
  <si>
    <t>Gotlib, Ian H.;Hammen, Constance L.</t>
  </si>
  <si>
    <t>RC537.H3376;RC537.H3376 2009</t>
  </si>
  <si>
    <t>Depression, Mental.;Depression.;Risk Factors.</t>
  </si>
  <si>
    <t>https://ebookcentral.proquest.com/lib/nclive-ebooks/detail.action?docID=371189</t>
  </si>
  <si>
    <t>Intermediate Italian for Dummies</t>
  </si>
  <si>
    <t>Gobetti, Daniela</t>
  </si>
  <si>
    <t>PC1129.E5 -- G63 2008eb</t>
  </si>
  <si>
    <t>Italian language -- Textbooks for foreign speakers -- English.;Italian language -- Grammar.</t>
  </si>
  <si>
    <t>https://ebookcentral.proquest.com/lib/nclive-ebooks/detail.action?docID=380445</t>
  </si>
  <si>
    <t>Wire Jewelry VISUAL Quick Tips</t>
  </si>
  <si>
    <t>TT212 -- .F74 2009eb</t>
  </si>
  <si>
    <t>Jewelry making. ; Wire craft.</t>
  </si>
  <si>
    <t>https://ebookcentral.proquest.com/lib/nclive-ebooks/detail.action?docID=380470</t>
  </si>
  <si>
    <t>Filmmaking for Dummies®</t>
  </si>
  <si>
    <t>Stoller, Bryan Michael;Lewis, Jerry</t>
  </si>
  <si>
    <t>PN1995.9.P7 -- S74 2009eb</t>
  </si>
  <si>
    <t>791.4302/3</t>
  </si>
  <si>
    <t>Motion picture industry -- Handbooks, manuals, etc.;Motion pictures -- Production and direction.</t>
  </si>
  <si>
    <t>https://ebookcentral.proquest.com/lib/nclive-ebooks/detail.action?docID=380484</t>
  </si>
  <si>
    <t>Guitar Exercises for Dummies</t>
  </si>
  <si>
    <t>Phillips, Mark;Chappell, Jon</t>
  </si>
  <si>
    <t>MT588 -- .P45 2009eb</t>
  </si>
  <si>
    <t>Guitar -- Methods -- Self-instruction. ; Music -- Self-instruction.</t>
  </si>
  <si>
    <t>https://ebookcentral.proquest.com/lib/nclive-ebooks/detail.action?docID=380508</t>
  </si>
  <si>
    <t>Schizophrenia for Dummies</t>
  </si>
  <si>
    <t>Levine, Jerome;Levine, Irene S.</t>
  </si>
  <si>
    <t>RC514 -- .L48 2009eb</t>
  </si>
  <si>
    <t>Schizophrenia -- Popular works. ; Psychoses -- Popular works.</t>
  </si>
  <si>
    <t>https://ebookcentral.proquest.com/lib/nclive-ebooks/detail.action?docID=380525</t>
  </si>
  <si>
    <t>Knitting for Dummies®</t>
  </si>
  <si>
    <t>Allen, Pam;Barr, Tracy;Okey, Shannon</t>
  </si>
  <si>
    <t>TT820 -- .A45 2008eb</t>
  </si>
  <si>
    <t>746.43/2</t>
  </si>
  <si>
    <t>Knitting.;Knitting -- Patterns.</t>
  </si>
  <si>
    <t>https://ebookcentral.proquest.com/lib/nclive-ebooks/detail.action?docID=380564</t>
  </si>
  <si>
    <t>ADHD in Adults : What the Science Says</t>
  </si>
  <si>
    <t>Barkley, Russell A.;Murphy, Kevin R.;Fischer, Mariellen</t>
  </si>
  <si>
    <t>RC394.A85B37</t>
  </si>
  <si>
    <t>616.85/89</t>
  </si>
  <si>
    <t>Attention-deficit disorder in adults.</t>
  </si>
  <si>
    <t>https://ebookcentral.proquest.com/lib/nclive-ebooks/detail.action?docID=405971</t>
  </si>
  <si>
    <t>The Bipolar Teen : What You Can Do to Help Your Child and Your Family</t>
  </si>
  <si>
    <t>Miklowitz, David J.;George, Elizabeth L.</t>
  </si>
  <si>
    <t>RJ506.D4M55 2008</t>
  </si>
  <si>
    <t>616.89/500835</t>
  </si>
  <si>
    <t>Manic-depressive illness in adolescence -- Popular works.</t>
  </si>
  <si>
    <t>https://ebookcentral.proquest.com/lib/nclive-ebooks/detail.action?docID=406017</t>
  </si>
  <si>
    <t>ADD/ADHD Drug Free : Natural Alternatives and Practical Exercises to Help Your Child Focus</t>
  </si>
  <si>
    <t>AMACOM</t>
  </si>
  <si>
    <t>Jacobelli, Frank;Watson, Lynn A.;Carter,Jay</t>
  </si>
  <si>
    <t>RJ506.H9 -- J326 2008eb</t>
  </si>
  <si>
    <t>618.92/8589</t>
  </si>
  <si>
    <t>Attention-deficit hyperactivity disorder. ; Frontal lobes -- Problems, exercises, etc.</t>
  </si>
  <si>
    <t>https://ebookcentral.proquest.com/lib/nclive-ebooks/detail.action?docID=408734</t>
  </si>
  <si>
    <t>Project Management That Works : Real-World Advice on Communicating, Problem-Solving, and Everything Else You Need to Know to Get the Job Done</t>
  </si>
  <si>
    <t>MORRIS, Rick A.;SEMBER, Brette MCWHORTER</t>
  </si>
  <si>
    <t>HD69.P75 -- M6743 2008eb</t>
  </si>
  <si>
    <t>658.4/04</t>
  </si>
  <si>
    <t>Project management.</t>
  </si>
  <si>
    <t>https://ebookcentral.proquest.com/lib/nclive-ebooks/detail.action?docID=408771</t>
  </si>
  <si>
    <t>Basic Chinese : A Grammar and Workbook</t>
  </si>
  <si>
    <t>Grammar Workbooks</t>
  </si>
  <si>
    <t xml:space="preserve">Po-Ching, Yip;Rimmington, Don;Xiaoming, Zhang;Henson, Rachel ;Quzhen, Yip Li </t>
  </si>
  <si>
    <t>PL1111 .Y56 2009</t>
  </si>
  <si>
    <t>Chinese language - Textbooks for foreign speakers - English</t>
  </si>
  <si>
    <t>https://ebookcentral.proquest.com/lib/nclive-ebooks/detail.action?docID=409515</t>
  </si>
  <si>
    <t>Social History of the United States [10 Volumes]</t>
  </si>
  <si>
    <t>Greenberg, Brian;Watts, Linda;Greenwald, Richard A.;Reavley, Gordon;George, Alice L.;Beekman, Scott;Bucki, Cecelia ;Ciabattari, Mark ;Stoner, John C.;Paino, Troy D.</t>
  </si>
  <si>
    <t>HN57.S622 2009</t>
  </si>
  <si>
    <t>306.973/09044</t>
  </si>
  <si>
    <t>United States - Economic conditions - 1865-1918</t>
  </si>
  <si>
    <t>https://ebookcentral.proquest.com/lib/nclive-ebooks/detail.action?docID=409703</t>
  </si>
  <si>
    <t>Evaluation in Distance Education and E-Learning : The Unfolding Model</t>
  </si>
  <si>
    <t>Ruhe, Valerie;Zumbo, Bruno D.</t>
  </si>
  <si>
    <t>Education</t>
  </si>
  <si>
    <t>LC5800.R84 2009</t>
  </si>
  <si>
    <t>378.1/75</t>
  </si>
  <si>
    <t>Distance education -- Evaluation. ; Computer-assisted instruction -- Evaluation. ; Web-based instruction -- Evaluation.</t>
  </si>
  <si>
    <t>https://ebookcentral.proquest.com/lib/nclive-ebooks/detail.action?docID=410677</t>
  </si>
  <si>
    <t>American Presidency : The American Presidency</t>
  </si>
  <si>
    <t>Learn &amp; Explore</t>
  </si>
  <si>
    <t>Encyclopaedia Britannica Inc</t>
  </si>
  <si>
    <t>History; Political Science</t>
  </si>
  <si>
    <t>JK511 -- .A64 2009eb</t>
  </si>
  <si>
    <t>973;973.099</t>
  </si>
  <si>
    <t>Presidents -- United States -- History. ; Presidents -- United States -- Biography. ; United States -- Politics and government.</t>
  </si>
  <si>
    <t>https://ebookcentral.proquest.com/lib/nclive-ebooks/detail.action?docID=413055</t>
  </si>
  <si>
    <t>American Political Parties and Elections : A Very Short Introduction</t>
  </si>
  <si>
    <t>Very Short Introductions</t>
  </si>
  <si>
    <t>Maisel, L. Sandy</t>
  </si>
  <si>
    <t>Political Science</t>
  </si>
  <si>
    <t>JK1965 -- .M34 2007eb</t>
  </si>
  <si>
    <t>Elections -- United States. ; Political parties -- United States.</t>
  </si>
  <si>
    <t>https://ebookcentral.proquest.com/lib/nclive-ebooks/detail.action?docID=415073</t>
  </si>
  <si>
    <t>Autism : A Very Short Introduction</t>
  </si>
  <si>
    <t>OUP Oxford</t>
  </si>
  <si>
    <t>Frith, Uta;Frith, Uta</t>
  </si>
  <si>
    <t>RJ506.A9 -- F694 2008eb</t>
  </si>
  <si>
    <t>616.85882;618.9289</t>
  </si>
  <si>
    <t>Autism in children. ; Autism.</t>
  </si>
  <si>
    <t>https://ebookcentral.proquest.com/lib/nclive-ebooks/detail.action?docID=415106</t>
  </si>
  <si>
    <t>Death or Liberty : African Americans and Revolutionary America</t>
  </si>
  <si>
    <t>Oxford University Press, Incorporated</t>
  </si>
  <si>
    <t>Egerton, Douglas R.;Egerton, Douglas R.</t>
  </si>
  <si>
    <t>E269.N3E35 2009</t>
  </si>
  <si>
    <t>African Americans -- History -- 18th century. ; Slavery -- United States -- History -- 18th century. ; United States -- History -- Revolution, 1775-1783 -- African Americans.</t>
  </si>
  <si>
    <t>https://ebookcentral.proquest.com/lib/nclive-ebooks/detail.action?docID=415227</t>
  </si>
  <si>
    <t>Lincoln and His Admirals : Abraham Lincoln, the U. S. Navy, and the Civil War</t>
  </si>
  <si>
    <t>Symonds, Craig</t>
  </si>
  <si>
    <t>E457.2.S94 2008</t>
  </si>
  <si>
    <t>Lincoln, Abraham, -- 1809-1865 -- Military leadership. ; Welles, Gideon, -- 1802-1878. ; Fox, Gustavus Vasa, -- 1821-1883. ; United States. -- Navy -- History -- 19th century. ; Presidents -- United States -- Biography. ; United States -- History -- Civil War, 1861-1865 -- Naval operations.</t>
  </si>
  <si>
    <t>https://ebookcentral.proquest.com/lib/nclive-ebooks/detail.action?docID=415493</t>
  </si>
  <si>
    <t>Managing Bipolar Disorder : A Cognitive Behavior Treatment Program</t>
  </si>
  <si>
    <t>Treatments That Work Ser.</t>
  </si>
  <si>
    <t xml:space="preserve">Otto, Michael;Reilly-Harrington, Noreen;Knauz, Robert O.;Henin, Aude;Kogan, Jane N.;Sachs, Gary S. </t>
  </si>
  <si>
    <t>RC516.M36 2009</t>
  </si>
  <si>
    <t>Cognitive therapy -- Popular works. ; Manic-depressive illness -- Popular works. ; Manic-depressive illness -- Treatment -- Popular works.</t>
  </si>
  <si>
    <t>https://ebookcentral.proquest.com/lib/nclive-ebooks/detail.action?docID=415511</t>
  </si>
  <si>
    <t>The Day Wall Street Exploded : A Story of America in Its First Age of Terror</t>
  </si>
  <si>
    <t>Gage, Beverly;Gage, Beverly</t>
  </si>
  <si>
    <t>HV6432.44.N7G34 2009</t>
  </si>
  <si>
    <t>974.7/1</t>
  </si>
  <si>
    <t>Terrorism -- New York (State) -- New York -- History. ; Terrorism -- United States -- History. ; Domestic terrorism -- United States.</t>
  </si>
  <si>
    <t>https://ebookcentral.proquest.com/lib/nclive-ebooks/detail.action?docID=415852</t>
  </si>
  <si>
    <t>The Making of a Confederate : Walter Lenoir's Civil War</t>
  </si>
  <si>
    <t>New Narratives in American History Ser.</t>
  </si>
  <si>
    <t>Barney, William L.;Kendall, Shari;Barney, William L.</t>
  </si>
  <si>
    <t>E573.5 37th.B37 2008</t>
  </si>
  <si>
    <t>Lenoir, Walter W. ; Confederate States of America. -- Army. -- North Carolina Infantry Regiment, 37th. ; Soldiers -- North Carolina -- Biography. ; Slaveholders -- North Carolina -- Biography. ; Landowners -- North Carolina -- Biography. ; Reconstruction (U.S. history, 1865-1877) -- North Carolina. ; Group identity -- Confederate States of America -- Case studies.</t>
  </si>
  <si>
    <t>https://ebookcentral.proquest.com/lib/nclive-ebooks/detail.action?docID=415911</t>
  </si>
  <si>
    <t>The Road to Monticello : The Life and Mind of Thomas Jefferson</t>
  </si>
  <si>
    <t>Hayes, Kevin J.</t>
  </si>
  <si>
    <t>E332.2.H395 2008</t>
  </si>
  <si>
    <t>973.4/6092</t>
  </si>
  <si>
    <t>Jefferson, Thomas, -- 1743-1826 -- Books and reading. ; Jefferson, Thomas, -- 1743-1826 -- Literary art. ; Jefferson, Thomas, -- 1743-1826 -- Notebooks, sketchbooks, etc. ; Jefferson, Thomas, -- 1743-1826 -- Influence. ; Presidents -- United States -- Biography. ; Monticello (Va.) -- History. ; United States -- Intellectual life -- 1783-1865.</t>
  </si>
  <si>
    <t>https://ebookcentral.proquest.com/lib/nclive-ebooks/detail.action?docID=415964</t>
  </si>
  <si>
    <t>When Dead Tongues Speak : Teaching Beginning Greek and Latin</t>
  </si>
  <si>
    <t>Society for Classical Studies Classical Resources Ser.</t>
  </si>
  <si>
    <t>Gruber-Miller, John</t>
  </si>
  <si>
    <t>PA74.W47 2006</t>
  </si>
  <si>
    <t>Classical philology -- Study and teaching. ; Greek language -- Study and teaching. ; Latin language -- Study and teaching.</t>
  </si>
  <si>
    <t>https://ebookcentral.proquest.com/lib/nclive-ebooks/detail.action?docID=416045</t>
  </si>
  <si>
    <t>The New Blackwell Companion to Social Theory</t>
  </si>
  <si>
    <t>Wiley Blackwell Companions to Sociology Ser.</t>
  </si>
  <si>
    <t xml:space="preserve">Turner, Bryan S.;Turner, Professor Bryan S , Professor;Turner, Professor Bryan S ;Turner, Bryan S </t>
  </si>
  <si>
    <t>H61.B4773 2009</t>
  </si>
  <si>
    <t>Social sciences -- Philosophy. ; Sociology -- Philosophy.</t>
  </si>
  <si>
    <t>https://ebookcentral.proquest.com/lib/nclive-ebooks/detail.action?docID=416539</t>
  </si>
  <si>
    <t>'Hate crime' and the city</t>
  </si>
  <si>
    <t>Policy Press</t>
  </si>
  <si>
    <t>Iganski, Paul</t>
  </si>
  <si>
    <t>HV6773.5.I33 2008</t>
  </si>
  <si>
    <t>Hate crimes. ; Criminal psychology.</t>
  </si>
  <si>
    <t>https://ebookcentral.proquest.com/lib/nclive-ebooks/detail.action?docID=419331</t>
  </si>
  <si>
    <t>History and Crime</t>
  </si>
  <si>
    <t>Key Approaches to Criminology Ser.</t>
  </si>
  <si>
    <t>Godfrey, Barry;Lawrence, Paul M.;Williams, Chris A.</t>
  </si>
  <si>
    <t>HV6233 -- .G63 2007eb</t>
  </si>
  <si>
    <t>Criminal justice, Administration of - History</t>
  </si>
  <si>
    <t>https://ebookcentral.proquest.com/lib/nclive-ebooks/detail.action?docID=420893</t>
  </si>
  <si>
    <t>The Everything American Presidents Book : All You Need to Know About the Leaders Who Shaped U.S. History</t>
  </si>
  <si>
    <t>F+W Media</t>
  </si>
  <si>
    <t>Adams Media</t>
  </si>
  <si>
    <t>Everything®</t>
  </si>
  <si>
    <t>Kelly, Martin;Kelly, Melissa</t>
  </si>
  <si>
    <t>E176.1.K417 2007</t>
  </si>
  <si>
    <t>973.09/9 B</t>
  </si>
  <si>
    <t>Presidents.</t>
  </si>
  <si>
    <t>https://ebookcentral.proquest.com/lib/nclive-ebooks/detail.action?docID=422183</t>
  </si>
  <si>
    <t>The Everything Health Guide To Adult Bipolar Disorder : Reassuring Advice to Help You Cope</t>
  </si>
  <si>
    <t>Bloch, Jon P.;Naser, Jeffrey</t>
  </si>
  <si>
    <t>RC516 .B55 2008</t>
  </si>
  <si>
    <t>616.89;616.89/5;616.895</t>
  </si>
  <si>
    <t>Depression, Mental -- Popular works.;Depression.;Manic-depressive illness -- Popular works.;Manic-depressive illness -- Treatment -- Popular works.</t>
  </si>
  <si>
    <t>https://ebookcentral.proquest.com/lib/nclive-ebooks/detail.action?docID=422194</t>
  </si>
  <si>
    <t>The Everything French Verb Book : A Handy Reference For Mastering Verb Conjugation</t>
  </si>
  <si>
    <t>Lawless, Laura K.</t>
  </si>
  <si>
    <t>PC2271.L338 2005</t>
  </si>
  <si>
    <t>448.2/421</t>
  </si>
  <si>
    <t>French language.</t>
  </si>
  <si>
    <t>https://ebookcentral.proquest.com/lib/nclive-ebooks/detail.action?docID=422256</t>
  </si>
  <si>
    <t>The Everything Spanish Verb Book : A Handy Reference For Mastering Verb Conjugation</t>
  </si>
  <si>
    <t>PC4271.L39 2004</t>
  </si>
  <si>
    <t>468.2/421</t>
  </si>
  <si>
    <t>https://ebookcentral.proquest.com/lib/nclive-ebooks/detail.action?docID=422257</t>
  </si>
  <si>
    <t>The Everything Spanish Phrase Book : A Quick Reference for Any Situation</t>
  </si>
  <si>
    <t>Luna, Cari</t>
  </si>
  <si>
    <t>PC4121.L86 2004</t>
  </si>
  <si>
    <t>468.3/421</t>
  </si>
  <si>
    <t>https://ebookcentral.proquest.com/lib/nclive-ebooks/detail.action?docID=422262</t>
  </si>
  <si>
    <t>The Everything American History Book : People, Places, and Events That Shaped Our Nation</t>
  </si>
  <si>
    <t>McGeehan, John R.</t>
  </si>
  <si>
    <t>E178 .M475 2008</t>
  </si>
  <si>
    <t>History -- United States.;United States -- History -- Miscellanea.;United States -- History.</t>
  </si>
  <si>
    <t>https://ebookcentral.proquest.com/lib/nclive-ebooks/detail.action?docID=422273</t>
  </si>
  <si>
    <t>The Everything Project Management Book : Tackle any project with confidence and get it done on time</t>
  </si>
  <si>
    <t>Morris, Rick A</t>
  </si>
  <si>
    <t>HD69 .P75</t>
  </si>
  <si>
    <t>Management.;Project management.;Strategic planning.</t>
  </si>
  <si>
    <t>https://ebookcentral.proquest.com/lib/nclive-ebooks/detail.action?docID=422277</t>
  </si>
  <si>
    <t>The Everything Parent's Guide To Children With Depression : An Authoritative Handbook on Identifying Symptoms, Choosing Treatments, and Raising a Happy and Healthy Child</t>
  </si>
  <si>
    <t>Rutledge, Rebecca</t>
  </si>
  <si>
    <t>RJ506.D4</t>
  </si>
  <si>
    <t>618.92/8527</t>
  </si>
  <si>
    <t>Depression in children.</t>
  </si>
  <si>
    <t>https://ebookcentral.proquest.com/lib/nclive-ebooks/detail.action?docID=422293</t>
  </si>
  <si>
    <t>Renaissance Art : A Very Short Introduction</t>
  </si>
  <si>
    <t>Johnson, Geraldine A</t>
  </si>
  <si>
    <t>N6370 -- .J64 2005eb</t>
  </si>
  <si>
    <t>Art, Renaissance. ; Art, Renaissance -- Italy.</t>
  </si>
  <si>
    <t>https://ebookcentral.proquest.com/lib/nclive-ebooks/detail.action?docID=422626</t>
  </si>
  <si>
    <t>Contemporary Art : A Very Short Introduction</t>
  </si>
  <si>
    <t>Stallabrass, Julian</t>
  </si>
  <si>
    <t>N6490 -- .S7282 2006eb</t>
  </si>
  <si>
    <t>Art, Modern -- 20th century. ; Art, Modern -- 21st century.</t>
  </si>
  <si>
    <t>https://ebookcentral.proquest.com/lib/nclive-ebooks/detail.action?docID=422746</t>
  </si>
  <si>
    <t>Christian Art : A Very Short Introduction</t>
  </si>
  <si>
    <t>Williamson, Beth</t>
  </si>
  <si>
    <t>N7830 -- .W54 2004eb</t>
  </si>
  <si>
    <t>700/.4823</t>
  </si>
  <si>
    <t>Christian art and symbolism.</t>
  </si>
  <si>
    <t>https://ebookcentral.proquest.com/lib/nclive-ebooks/detail.action?docID=422790</t>
  </si>
  <si>
    <t>Colloquial Chinese : The Complete Course for Beginners</t>
  </si>
  <si>
    <t>Kan, Qian</t>
  </si>
  <si>
    <t>PL1125.E6 -- K36 2009eb</t>
  </si>
  <si>
    <t>495.1/83421</t>
  </si>
  <si>
    <t>Chinese language -- Conversation and phrase books -- English.;Chinese language -- Grammar.;Chinese language -- Spoken Chinese.</t>
  </si>
  <si>
    <t>https://ebookcentral.proquest.com/lib/nclive-ebooks/detail.action?docID=425576</t>
  </si>
  <si>
    <t>Spanish for Veterinarians : A Practical Introduction</t>
  </si>
  <si>
    <t>Mosqueda, Juan;Frederick, Bonnie</t>
  </si>
  <si>
    <t>PC4120.M3 -- F74 2008eb</t>
  </si>
  <si>
    <t>468.3/421024636</t>
  </si>
  <si>
    <t>Spanish language -- Conversation and phrase books (for medical personnel)</t>
  </si>
  <si>
    <t>https://ebookcentral.proquest.com/lib/nclive-ebooks/detail.action?docID=427620</t>
  </si>
  <si>
    <t>Healing Depression the Mind-Body Way : Creating Happiness with Meditation, Yoga, and Ayurveda</t>
  </si>
  <si>
    <t>Liebler, Nancy;Moss, Sandra</t>
  </si>
  <si>
    <t>RC537 -- .L554 2009eb</t>
  </si>
  <si>
    <t>Depression, Mental -- Alternative treatment. ; Medicine, Ayurvedic. ; Hatha yoga. ; Meditation.</t>
  </si>
  <si>
    <t>https://ebookcentral.proquest.com/lib/nclive-ebooks/detail.action?docID=427621</t>
  </si>
  <si>
    <t>Project Management : A Systems Approach to Planning, Scheduling, and Controlling</t>
  </si>
  <si>
    <t>Kerzner, Harold</t>
  </si>
  <si>
    <t>HD69.P75 -- K47 2009eb</t>
  </si>
  <si>
    <t>Project management. ; Project management -- Case studies.</t>
  </si>
  <si>
    <t>https://ebookcentral.proquest.com/lib/nclive-ebooks/detail.action?docID=427764</t>
  </si>
  <si>
    <t>Obesity and Diabetes</t>
  </si>
  <si>
    <t>Practical Diabetes Ser.</t>
  </si>
  <si>
    <t>Kumar, Sudhesh;Barnett, Anthony H.</t>
  </si>
  <si>
    <t>RC628.O2263 2009</t>
  </si>
  <si>
    <t>616.3/98</t>
  </si>
  <si>
    <t>Obesity. ; Non-insulin-dependent diabetes.</t>
  </si>
  <si>
    <t>https://ebookcentral.proquest.com/lib/nclive-ebooks/detail.action?docID=427939</t>
  </si>
  <si>
    <t>ABC of Breast Diseases</t>
  </si>
  <si>
    <t>ABC Ser.</t>
  </si>
  <si>
    <t>Dixon, J. Michael</t>
  </si>
  <si>
    <t>RG491.A232 2006</t>
  </si>
  <si>
    <t>Breast -- Diseases -- Treatment.;Breast -- Cancer -- Treatment.</t>
  </si>
  <si>
    <t>https://ebookcentral.proquest.com/lib/nclive-ebooks/detail.action?docID=428050</t>
  </si>
  <si>
    <t>Nursing Medical Emergency Patients</t>
  </si>
  <si>
    <t>Essential Clinical Skills for Nurses</t>
  </si>
  <si>
    <t xml:space="preserve">Jevon, Philip;Ewens, Beverley;Humphreys, Melanie;Humphreys, Melanie </t>
  </si>
  <si>
    <t>RT120.E4J49 2008</t>
  </si>
  <si>
    <t>610.73/6</t>
  </si>
  <si>
    <t>Emergency nursing.</t>
  </si>
  <si>
    <t>https://ebookcentral.proquest.com/lib/nclive-ebooks/detail.action?docID=428088</t>
  </si>
  <si>
    <t>ABC of Ear, Nose and Throat</t>
  </si>
  <si>
    <t>Ludman, Harold S.;Bradley, Patrick J.</t>
  </si>
  <si>
    <t>RF46.A25 2007</t>
  </si>
  <si>
    <t>Otolaryngology.</t>
  </si>
  <si>
    <t>https://ebookcentral.proquest.com/lib/nclive-ebooks/detail.action?docID=428128</t>
  </si>
  <si>
    <t>ABC of Obesity</t>
  </si>
  <si>
    <t>Sattar, Naveed;Lean, Mike</t>
  </si>
  <si>
    <t>Health; Social Science; Medicine</t>
  </si>
  <si>
    <t>RC628.A23 2007</t>
  </si>
  <si>
    <t>362.196/39800941</t>
  </si>
  <si>
    <t>Obesity -- Great Britain.;Obesity -- Great Britain -- Prevention.</t>
  </si>
  <si>
    <t>https://ebookcentral.proquest.com/lib/nclive-ebooks/detail.action?docID=428130</t>
  </si>
  <si>
    <t>ABC of Kidney Disease</t>
  </si>
  <si>
    <t>Goldsmith, David;Jayawardene, Satish;Ackland, Penny</t>
  </si>
  <si>
    <t>RC902.A333 2007</t>
  </si>
  <si>
    <t>Kidneys -- Diseases. ; Family medicine.</t>
  </si>
  <si>
    <t>https://ebookcentral.proquest.com/lib/nclive-ebooks/detail.action?docID=428131</t>
  </si>
  <si>
    <t>ABC of Lung Cancer</t>
  </si>
  <si>
    <t>Hunt, Ian;Muers, Martin M.;Treasure, Tom</t>
  </si>
  <si>
    <t>RC280.L8A23 2009</t>
  </si>
  <si>
    <t>Lungs -- Cancer.;Respiratory organs -- Cancer.</t>
  </si>
  <si>
    <t>https://ebookcentral.proquest.com/lib/nclive-ebooks/detail.action?docID=428149</t>
  </si>
  <si>
    <t>Rehabilitation in Cancer Care</t>
  </si>
  <si>
    <t>Rankin, Jane;Murtagh, Nicki;Robb, Karen;Cooper, Jill ;Lewis, Sian</t>
  </si>
  <si>
    <t>RC271.P33.R44 2008</t>
  </si>
  <si>
    <t>616.99/4029;616.99406</t>
  </si>
  <si>
    <t>Cancer -- Palliative treatment. ; Cancer -- Patients -- Rehabilitation.</t>
  </si>
  <si>
    <t>https://ebookcentral.proquest.com/lib/nclive-ebooks/detail.action?docID=428189</t>
  </si>
  <si>
    <t>ABC of Skin Cancer</t>
  </si>
  <si>
    <t>Rajpar, Sajjad;Marsden, Jerry;Rajpar, Sajjad</t>
  </si>
  <si>
    <t>RC280.S5A15 2008</t>
  </si>
  <si>
    <t>616.99/477</t>
  </si>
  <si>
    <t>Skin -- Cancer.</t>
  </si>
  <si>
    <t>https://ebookcentral.proquest.com/lib/nclive-ebooks/detail.action?docID=428198</t>
  </si>
  <si>
    <t>A History of Food</t>
  </si>
  <si>
    <t>Toussaint-Samat, Maguelonne;Toussaint-Samat, Maguelonne</t>
  </si>
  <si>
    <t>Home Economics; Health</t>
  </si>
  <si>
    <t>TX353 -- .T6413 2009eb</t>
  </si>
  <si>
    <t>Nutrition -- Social aspects -- History. ; Food -- History. ; Food supply -- History.</t>
  </si>
  <si>
    <t>https://ebookcentral.proquest.com/lib/nclive-ebooks/detail.action?docID=428255</t>
  </si>
  <si>
    <t>Choral Repertoire</t>
  </si>
  <si>
    <t>Shrock, Dennis</t>
  </si>
  <si>
    <t>ML128.C48S57 2009</t>
  </si>
  <si>
    <t>Choruses -- Bibliography. ; Vocal music -- Bibliography.</t>
  </si>
  <si>
    <t>https://ebookcentral.proquest.com/lib/nclive-ebooks/detail.action?docID=431268</t>
  </si>
  <si>
    <t>The Last Indian War : The Nez Perce Story</t>
  </si>
  <si>
    <t>Pivotal Moments in American History Ser.</t>
  </si>
  <si>
    <t>West, Elliott;West, Elliott</t>
  </si>
  <si>
    <t>E83.877.W47 2009</t>
  </si>
  <si>
    <t>973.8/3</t>
  </si>
  <si>
    <t>Joseph, -- Nez Percé Chief, -- 1840-1904. ; Nez Percé Indians -- Wars, 1877. ; Nez Percé Indians -- History -- 19th century. ; Big Hole, Battle of the, Mont., 1877.</t>
  </si>
  <si>
    <t>https://ebookcentral.proquest.com/lib/nclive-ebooks/detail.action?docID=431369</t>
  </si>
  <si>
    <t>Project Management</t>
  </si>
  <si>
    <t>HD69.P75 -- K472 2006eb</t>
  </si>
  <si>
    <t>Project management -- Case studies.;Management.</t>
  </si>
  <si>
    <t>https://ebookcentral.proquest.com/lib/nclive-ebooks/detail.action?docID=433853</t>
  </si>
  <si>
    <t>Face Off : How to Draw Amazing Caricatures &amp; Comic Portraits</t>
  </si>
  <si>
    <t>F&amp;W Media, Incorporated</t>
  </si>
  <si>
    <t>IMPACT Books</t>
  </si>
  <si>
    <t>Hamernik, Harry</t>
  </si>
  <si>
    <t>Fine Arts; History</t>
  </si>
  <si>
    <t>NC1763.P677 -- H36 2006eb</t>
  </si>
  <si>
    <t>Portraits -- Caricatures and cartoons.;Cartooning -- Technique.</t>
  </si>
  <si>
    <t>https://ebookcentral.proquest.com/lib/nclive-ebooks/detail.action?docID=434957</t>
  </si>
  <si>
    <t>Communications Skills for Project Managers</t>
  </si>
  <si>
    <t>CAMPBELL, Michael, PMP</t>
  </si>
  <si>
    <t>HD69.P75 -- C364 2009eb</t>
  </si>
  <si>
    <t>658.4/5;658.404;658.45</t>
  </si>
  <si>
    <t>Project management. ; Communication in management.</t>
  </si>
  <si>
    <t>https://ebookcentral.proquest.com/lib/nclive-ebooks/detail.action?docID=434988</t>
  </si>
  <si>
    <t>Gender and Crime</t>
  </si>
  <si>
    <t>SAGE Publications</t>
  </si>
  <si>
    <t>SAGE Publications Ltd</t>
  </si>
  <si>
    <t>Key Approaches to Criminology</t>
  </si>
  <si>
    <t>Silvestri, Marisa;Crowther-Dowey, Chris</t>
  </si>
  <si>
    <t>HV6158 -- .S55 2008eb</t>
  </si>
  <si>
    <t>Crime -- Sociological aspects.;Crime -- Sex differences.;Sex discrimination in criminal justice administration.</t>
  </si>
  <si>
    <t>https://ebookcentral.proquest.com/lib/nclive-ebooks/detail.action?docID=435373</t>
  </si>
  <si>
    <t>Grammar of New Testament Greek, 1 : The Prolegomena</t>
  </si>
  <si>
    <t>Bloomsbury Publishing</t>
  </si>
  <si>
    <t>A&amp;C Black Academic and Professional</t>
  </si>
  <si>
    <t>Moulton, James Hope;Howard, Wilbert Francis;Turner, Nigel</t>
  </si>
  <si>
    <t>PA813 .M7</t>
  </si>
  <si>
    <t>Greek language, Biblical -- Grammar;Greek language, Biblical.</t>
  </si>
  <si>
    <t>https://ebookcentral.proquest.com/lib/nclive-ebooks/detail.action?docID=435991</t>
  </si>
  <si>
    <t>Grammar of New Testament Greek, 2 : Accidence and Word Formation</t>
  </si>
  <si>
    <t>https://ebookcentral.proquest.com/lib/nclive-ebooks/detail.action?docID=435992</t>
  </si>
  <si>
    <t>Grammar of New Testament Greek, 4 : Style</t>
  </si>
  <si>
    <t xml:space="preserve">Moulton, James Hope;Howard, Wilbert Francis;Turner, Nigel;Howard, W.F. </t>
  </si>
  <si>
    <t>https://ebookcentral.proquest.com/lib/nclive-ebooks/detail.action?docID=435993</t>
  </si>
  <si>
    <t>Grammar of New Testament Greek, 3 : Syntax</t>
  </si>
  <si>
    <t>https://ebookcentral.proquest.com/lib/nclive-ebooks/detail.action?docID=435994</t>
  </si>
  <si>
    <t>Urdu: an Essential Grammar : An Essential Grammar</t>
  </si>
  <si>
    <t>Schmidt, Ruth Laila;Schmidt Ruth, La</t>
  </si>
  <si>
    <t>PK1973 -- .S36 1999eb</t>
  </si>
  <si>
    <t>Urdu language -- Grammar. ; Urdu language -- Syntax. ; Urdu language -- Textbooks for foreign speakers -- English.</t>
  </si>
  <si>
    <t>https://ebookcentral.proquest.com/lib/nclive-ebooks/detail.action?docID=437703</t>
  </si>
  <si>
    <t>Colloquial Urdu : The Complete Course for Beginners</t>
  </si>
  <si>
    <t xml:space="preserve">Bhatia, Tej K;Koul, Ashok;Bhatia Tej, K ;Koul, Ashok </t>
  </si>
  <si>
    <t>PK1975.B47 2000</t>
  </si>
  <si>
    <t>Urdu language--Conversation and phrase books--English.</t>
  </si>
  <si>
    <t>https://ebookcentral.proquest.com/lib/nclive-ebooks/detail.action?docID=446659</t>
  </si>
  <si>
    <t>Radio's America : The Great Depression and the Rise of Modern Mass Culture</t>
  </si>
  <si>
    <t>University of Chicago Press</t>
  </si>
  <si>
    <t>Lenthall, Bruce</t>
  </si>
  <si>
    <t>Social Science; Fine Arts</t>
  </si>
  <si>
    <t>PN1991</t>
  </si>
  <si>
    <t>302.23/44097309043</t>
  </si>
  <si>
    <t>Radio broadcasting -- United States -- History.</t>
  </si>
  <si>
    <t>https://ebookcentral.proquest.com/lib/nclive-ebooks/detail.action?docID=448560</t>
  </si>
  <si>
    <t>Project Management Communications Bible</t>
  </si>
  <si>
    <t>Bible Ser.</t>
  </si>
  <si>
    <t>Dow, William;Taylor, Bruce</t>
  </si>
  <si>
    <t>HD69.P75 -- D69 2008eb</t>
  </si>
  <si>
    <t>Project management.;Management.</t>
  </si>
  <si>
    <t>https://ebookcentral.proquest.com/lib/nclive-ebooks/detail.action?docID=448859</t>
  </si>
  <si>
    <t>Drawing Cartoons and Comics for Dummies</t>
  </si>
  <si>
    <t>Fairrington, Brian</t>
  </si>
  <si>
    <t>NC1320 -- .F35 2009eb</t>
  </si>
  <si>
    <t>Cartooning -- Technique. ; Comic books, strips, etc. -- Technique.</t>
  </si>
  <si>
    <t>https://ebookcentral.proquest.com/lib/nclive-ebooks/detail.action?docID=448883</t>
  </si>
  <si>
    <t>U. S. History for Dummies</t>
  </si>
  <si>
    <t>Wiegand, Steve</t>
  </si>
  <si>
    <t>E178 -- .W54 2009eb</t>
  </si>
  <si>
    <t>United States -- History.</t>
  </si>
  <si>
    <t>https://ebookcentral.proquest.com/lib/nclive-ebooks/detail.action?docID=448954</t>
  </si>
  <si>
    <t>What Works with Women Offenders</t>
  </si>
  <si>
    <t>Willan Publishing</t>
  </si>
  <si>
    <t>Sheehan, Rosemary;McIvor, Gill;Trotter, Chris</t>
  </si>
  <si>
    <t>HV6046 -- .W53 2007eb</t>
  </si>
  <si>
    <t>Female offenders -- Congresses. ; Women prisoners -- Congresses. ; Female offenders -- Effect of imprisonment on -- Congresses. ; Female offenders -- Rehabilitation -- Congresses.</t>
  </si>
  <si>
    <t>https://ebookcentral.proquest.com/lib/nclive-ebooks/detail.action?docID=449556</t>
  </si>
  <si>
    <t>Genetic Policing : The Uses of DNA in Police Investigations</t>
  </si>
  <si>
    <t>Williams, Robin;Johnson, Paul</t>
  </si>
  <si>
    <t>Social Science; Health</t>
  </si>
  <si>
    <t>RA1057.55 -- .W55 2008eb</t>
  </si>
  <si>
    <t>DNA fingerprinting - Great Britain</t>
  </si>
  <si>
    <t>https://ebookcentral.proquest.com/lib/nclive-ebooks/detail.action?docID=449582</t>
  </si>
  <si>
    <t>Hurricane Katrina : America's Unnatural Disaster</t>
  </si>
  <si>
    <t>University of Nebraska Press</t>
  </si>
  <si>
    <t>Bison Books</t>
  </si>
  <si>
    <t>Justice and Social Inquiry</t>
  </si>
  <si>
    <t>Levitt, Jeremy I;Whitaker, Matthew C.</t>
  </si>
  <si>
    <t>HV636 2005.N4 -- H87 2009eb</t>
  </si>
  <si>
    <t>976/.044</t>
  </si>
  <si>
    <t>Hurricane Katrina, 2005. ; Disaster relief -- Louisiana -- New Orleans. ; African Americans -- Louisiana -- New Orleans -- Social conditions. ; Social justice -- Louisiana -- New Orleans.</t>
  </si>
  <si>
    <t>https://ebookcentral.proquest.com/lib/nclive-ebooks/detail.action?docID=452141</t>
  </si>
  <si>
    <t>ABC of Mental Health</t>
  </si>
  <si>
    <t>Davies, Teifion;Craig, Tom</t>
  </si>
  <si>
    <t>Social Science; Health; Medicine</t>
  </si>
  <si>
    <t>RA790.5 -- .A225 2009eb</t>
  </si>
  <si>
    <t>Mental health services -- Handbooks, manuals, etc. ; Mental health -- Handbooks, manuals, etc.</t>
  </si>
  <si>
    <t>https://ebookcentral.proquest.com/lib/nclive-ebooks/detail.action?docID=454333</t>
  </si>
  <si>
    <t>God and Race in American Politics : A Short History</t>
  </si>
  <si>
    <t>Princeton University Press</t>
  </si>
  <si>
    <t>Noll, Mark A.</t>
  </si>
  <si>
    <t>E185.N65 2008</t>
  </si>
  <si>
    <t>Christianity and politics -- United States -- History. ; African Americans -- Civil rights -- History. ; African Americans -- Religion. ; African Americans -- Intellectual life. ; United States -- Race relations -- Political aspects. ; United States -- Politics and government -- 19th century. ; United States -- Politics and government -- 20th century.</t>
  </si>
  <si>
    <t>https://ebookcentral.proquest.com/lib/nclive-ebooks/detail.action?docID=457868</t>
  </si>
  <si>
    <t>PMP Project Management Professional Exam Study Guide : Project Management Professional Exam</t>
  </si>
  <si>
    <t>Sybex</t>
  </si>
  <si>
    <t>Heldman, Kim</t>
  </si>
  <si>
    <t>HD69.P75 -- H445 2009eb</t>
  </si>
  <si>
    <t>Project management -- Examinations, questions, etc.;Management -- Examinations -- Study guides.</t>
  </si>
  <si>
    <t>https://ebookcentral.proquest.com/lib/nclive-ebooks/detail.action?docID=469505</t>
  </si>
  <si>
    <t>Down Syndrome Across the Life Span</t>
  </si>
  <si>
    <t>Cuskelly, Monica;Jobling, Anne;Buckley, Susan</t>
  </si>
  <si>
    <t>Psychology; Medicine; Health; Social Science</t>
  </si>
  <si>
    <t>RC571 -- .D69 2002eb</t>
  </si>
  <si>
    <t>362.1/96858842</t>
  </si>
  <si>
    <t>Down syndrome. ; Down syndrome -- Patients -- Medical care. ; Down syndrome -- Congresses. ; People with mental disabilities -- Congresses.</t>
  </si>
  <si>
    <t>https://ebookcentral.proquest.com/lib/nclive-ebooks/detail.action?docID=470107</t>
  </si>
  <si>
    <t>Berkshire Encyclopedia of World History</t>
  </si>
  <si>
    <t>Berkshire Publishing</t>
  </si>
  <si>
    <t>Berkshire Publishing Group</t>
  </si>
  <si>
    <t>McNeill, William H.; Bentley, Jerry H.; Christian, David; Levinson, David; McNeill, J. R.; Roupp, Heidi; Zinsser, Judith P.;Bentley, Jerry H.;Christian, David;Womans, Ewha;Levinson, David H.;McNeill, John R.;Roupp, Heidi;Zinsser, Judith P.;McNeill, William H.</t>
  </si>
  <si>
    <t>D23 .B45 2005</t>
  </si>
  <si>
    <t>World history</t>
  </si>
  <si>
    <t>https://ebookcentral.proquest.com/lib/nclive-ebooks/detail.action?docID=471063</t>
  </si>
  <si>
    <t>History Strikes Back : How States, Nations, and Conflicts Are Shaping the 21st Century</t>
  </si>
  <si>
    <t>Brookings Institution Press</t>
  </si>
  <si>
    <t>Vedrine, Hubert;Albright, Madeleine K.;Albright, Madeleine K.</t>
  </si>
  <si>
    <t>Political Science; Geography/Travel</t>
  </si>
  <si>
    <t>JZ1313 -- .V4313 2008eb</t>
  </si>
  <si>
    <t>Balance of power. ; International relations. ; World politics -- 21st century.</t>
  </si>
  <si>
    <t>https://ebookcentral.proquest.com/lib/nclive-ebooks/detail.action?docID=472666</t>
  </si>
  <si>
    <t>Slavery in the South : A State-by-State History</t>
  </si>
  <si>
    <t>Non-Series</t>
  </si>
  <si>
    <t>Jewett, Clayton;Allen, John</t>
  </si>
  <si>
    <t>E441 -- .J49 2004eb</t>
  </si>
  <si>
    <t>306.3/62/0973</t>
  </si>
  <si>
    <t>Slavery -- Southern States -- History. ; Slaves -- Southern States -- Social conditions. ; African Americans -- Southern States -- Social conditions. ; Slaves -- Southern States -- Biography. ; Southern States -- History. ; Southern States -- Race relations. ; Southern States -- Biography.</t>
  </si>
  <si>
    <t>https://ebookcentral.proquest.com/lib/nclive-ebooks/detail.action?docID=494778</t>
  </si>
  <si>
    <t>Reconstruction Era, The : Primary Documents on Events from 1865 to 1877</t>
  </si>
  <si>
    <t>Debating Historical Issues in the Media of the Time</t>
  </si>
  <si>
    <t xml:space="preserve">Dickerson, Donna;Copeland, David A </t>
  </si>
  <si>
    <t>E668 -- .D545 2003eb</t>
  </si>
  <si>
    <t>973;973.8</t>
  </si>
  <si>
    <t>Ciãencia Social. -- Antropologia. -- Geral. -- lcsh ; Social Science. -- Anthropology. -- General. -- lcsh ; Ciencias Sociales. -- Antropologâia. -- General. -- lcsh ; Libros electronicos.</t>
  </si>
  <si>
    <t>https://ebookcentral.proquest.com/lib/nclive-ebooks/detail.action?docID=497011</t>
  </si>
  <si>
    <t>Revolutionary Era, The : Primary Documents on Events from 1776 to 1800</t>
  </si>
  <si>
    <t>Humphrey, Carol Sue</t>
  </si>
  <si>
    <t>E203 -- .H88 2003eb</t>
  </si>
  <si>
    <t>American newspapers -- History -- 18th century. ; United States -- History -- Revolution, 1775-1783 -- Sources. ; United States -- History -- Revolution, 1775-1783 -- Press coverage.</t>
  </si>
  <si>
    <t>https://ebookcentral.proquest.com/lib/nclive-ebooks/detail.action?docID=497160</t>
  </si>
  <si>
    <t>ABC of One to Seven</t>
  </si>
  <si>
    <t>Valman, Bernard;Baroda, Arlene</t>
  </si>
  <si>
    <t>RJ48.A23 2010</t>
  </si>
  <si>
    <t>Pediatrics -- Handbooks, manuals, etc.;Children -- Health and hygiene -- Handbooks, manuals, etc.</t>
  </si>
  <si>
    <t>https://ebookcentral.proquest.com/lib/nclive-ebooks/detail.action?docID=547177</t>
  </si>
  <si>
    <t>Practical Crime Scene Analysis and Reconstruction</t>
  </si>
  <si>
    <t>CRC Press</t>
  </si>
  <si>
    <t>Practical Aspects of Criminal and Forensic Investigations Ser.</t>
  </si>
  <si>
    <t xml:space="preserve">Gardner, Ross M.;Bevel, Tom;Geberth, Vernon J. </t>
  </si>
  <si>
    <t>HV8073.G317 2009</t>
  </si>
  <si>
    <t>Crime scene searches. ; Criminal investigation. ; Evidence, Criminal. ; Forensic sciences.</t>
  </si>
  <si>
    <t>https://ebookcentral.proquest.com/lib/nclive-ebooks/detail.action?docID=570467</t>
  </si>
  <si>
    <t>Grammar and Inference in Conversation : Identifying clause structure in spoken Javanese</t>
  </si>
  <si>
    <t>John Benjamins Publishing Company</t>
  </si>
  <si>
    <t>Ewing, Michael C.</t>
  </si>
  <si>
    <t>PL5164 -- .E95 2005eb</t>
  </si>
  <si>
    <t>499/.2227/095982</t>
  </si>
  <si>
    <t>Javanese language -- Dialects -- Indonesia -- Cirebon (Kabupaten) -- Grammar. ; Javanese language -- Dialects -- Indonesia -- Cirebon (Kabupaten) -- Clauses. ; Javanese language -- Dialects -- Indonesia -- Cirebon (Kabupaten) -- Discourse analysis.</t>
  </si>
  <si>
    <t>https://ebookcentral.proquest.com/lib/nclive-ebooks/detail.action?docID=622618</t>
  </si>
  <si>
    <t>Hindi</t>
  </si>
  <si>
    <t>Kachru, Yamuna</t>
  </si>
  <si>
    <t>PK1933 -- .K255 2006eb</t>
  </si>
  <si>
    <t>491/.4382421</t>
  </si>
  <si>
    <t>Hindi language -- Grammar. ; Hindustani language -- Grammar.</t>
  </si>
  <si>
    <t>https://ebookcentral.proquest.com/lib/nclive-ebooks/detail.action?docID=622644</t>
  </si>
  <si>
    <t>Light Verb Construction in Japanese : The role of the verbal noun</t>
  </si>
  <si>
    <t>Miyamoto, Tadao</t>
  </si>
  <si>
    <t>PL585 -- .M53 1999eb</t>
  </si>
  <si>
    <t>495.6/5</t>
  </si>
  <si>
    <t>Japanese language -- Verb. ; Japanese language -- Noun phrase.</t>
  </si>
  <si>
    <t>https://ebookcentral.proquest.com/lib/nclive-ebooks/detail.action?docID=622794</t>
  </si>
  <si>
    <t>Fast Facts : Psoriasis</t>
  </si>
  <si>
    <t>HEALTH PRESS LIMITED</t>
  </si>
  <si>
    <t>Health Press</t>
  </si>
  <si>
    <t>Fast Facts</t>
  </si>
  <si>
    <t>Menter, Alan;Smith, Catherine;Barker, Jonathan</t>
  </si>
  <si>
    <t>RL321 -- .M46 2008eb</t>
  </si>
  <si>
    <t>Psoriasis.</t>
  </si>
  <si>
    <t>https://ebookcentral.proquest.com/lib/nclive-ebooks/detail.action?docID=744421</t>
  </si>
  <si>
    <t>Fast Facts : Lymphoma</t>
  </si>
  <si>
    <t>Hatton, Chris;Collins, Graham;Sweetenham, John</t>
  </si>
  <si>
    <t>RC280.L9 -- H38 2008eb</t>
  </si>
  <si>
    <t>Lymphomas.</t>
  </si>
  <si>
    <t>https://ebookcentral.proquest.com/lib/nclive-ebooks/detail.action?docID=744429</t>
  </si>
  <si>
    <t>Fast Facts : Religion and Medicine</t>
  </si>
  <si>
    <t>Boyle, DCM;Lee, Men-Jean</t>
  </si>
  <si>
    <t>BL65.M4 -- B69 2008eb</t>
  </si>
  <si>
    <t>Medicine -- Religious aspects.</t>
  </si>
  <si>
    <t>https://ebookcentral.proquest.com/lib/nclive-ebooks/detail.action?docID=744442</t>
  </si>
  <si>
    <t>Fast Facts: Contraception : Contraception</t>
  </si>
  <si>
    <t>Health Press Limited</t>
  </si>
  <si>
    <t>Gebbie, Ailsa E;O'Connell White, Katharine</t>
  </si>
  <si>
    <t>Health; Medicine</t>
  </si>
  <si>
    <t>RG136 -- .G43 2009eb</t>
  </si>
  <si>
    <t>Contraception.</t>
  </si>
  <si>
    <t>https://ebookcentral.proquest.com/lib/nclive-ebooks/detail.action?docID=744448</t>
  </si>
  <si>
    <t>Fast Facts : Inflammatory Bowel Disease</t>
  </si>
  <si>
    <t>Rampton, David S;Shanahan, Fergus</t>
  </si>
  <si>
    <t>RC862.I53 -- R36 2008eb</t>
  </si>
  <si>
    <t>Inflammatory bowel diseases.</t>
  </si>
  <si>
    <t>https://ebookcentral.proquest.com/lib/nclive-ebooks/detail.action?docID=744455</t>
  </si>
  <si>
    <t>Fast Facts : Osteoarthritis</t>
  </si>
  <si>
    <t>Conaghan, Philip;Sharma, Leena</t>
  </si>
  <si>
    <t>RC931.O67 -- C66 2009eb</t>
  </si>
  <si>
    <t>French language -- Textbooks for foreign speakers -- English. ; French language -- Grammar. ; French language -- Grammar -- Problems, exercises, etc.</t>
  </si>
  <si>
    <t>https://ebookcentral.proquest.com/lib/nclive-ebooks/detail.action?docID=744456</t>
  </si>
  <si>
    <t>Fast Facts: Minor Surgery : Minor Surgery</t>
  </si>
  <si>
    <t>Price, Christopher J;Sinclair, Rodney</t>
  </si>
  <si>
    <t>RD111 -- .P75 2008eb</t>
  </si>
  <si>
    <t>Surgery, Minor.</t>
  </si>
  <si>
    <t>https://ebookcentral.proquest.com/lib/nclive-ebooks/detail.action?docID=744459</t>
  </si>
  <si>
    <t>A Companion to the Civil War and Reconstruction</t>
  </si>
  <si>
    <t>Wiley Blackwell Companions to American History Ser.</t>
  </si>
  <si>
    <t>Ford, Lacy</t>
  </si>
  <si>
    <t>E468.5.C64 2005</t>
  </si>
  <si>
    <t>United States - History - Civil War, 1861-1865</t>
  </si>
  <si>
    <t>https://ebookcentral.proquest.com/lib/nclive-ebooks/detail.action?docID=819470</t>
  </si>
  <si>
    <t>Understanding Cultures Through Their Key Words : English, Russian, Polish, German, and Japanese</t>
  </si>
  <si>
    <t>Oxford Studies in Anthropological Linguistics Ser.</t>
  </si>
  <si>
    <t>Wierzbicka, Anna</t>
  </si>
  <si>
    <t>P35.W54 19</t>
  </si>
  <si>
    <t>306.4/4/089</t>
  </si>
  <si>
    <t>Semantics, Comparative</t>
  </si>
  <si>
    <t>https://ebookcentral.proquest.com/lib/nclive-ebooks/detail.action?docID=1591175</t>
  </si>
  <si>
    <t>The Civil War Roster of Davie County, North Carolina : Biographies of 1,147 Men Before, During and after the Conflict</t>
  </si>
  <si>
    <t>McFarland &amp; Company, Incorporated Publishers</t>
  </si>
  <si>
    <t>Hasty, Mary Alice M.;Winfree, Hazel M.</t>
  </si>
  <si>
    <t>F262.D4H37 2009</t>
  </si>
  <si>
    <t>Davie County (N.C.)</t>
  </si>
  <si>
    <t>https://ebookcentral.proquest.com/lib/nclive-ebooks/detail.action?docID=1594690</t>
  </si>
  <si>
    <t>Alcoholism: Its Treatments And Mistreatments</t>
  </si>
  <si>
    <t>World Scientific Publishing Company</t>
  </si>
  <si>
    <t>World Scientific</t>
  </si>
  <si>
    <t>Maltzman, Irving</t>
  </si>
  <si>
    <t>Social Science; Medicine</t>
  </si>
  <si>
    <t>HV5275.M22 2008</t>
  </si>
  <si>
    <t>Alcoholism -- Treatment. ; Drug abuse -- Treatment.</t>
  </si>
  <si>
    <t>https://ebookcentral.proquest.com/lib/nclive-ebooks/detail.action?docID=1681334</t>
  </si>
  <si>
    <t>Japanese Visual Culture : Explorations in the World of Manga and Anime</t>
  </si>
  <si>
    <t>MacWilliams, Mark W.;MacWilliams, Mark W.</t>
  </si>
  <si>
    <t>Fiction; Fine Arts</t>
  </si>
  <si>
    <t>NC1764.5.J3 -- J37 2008eb</t>
  </si>
  <si>
    <t>741.5/952</t>
  </si>
  <si>
    <t>Comic books, strips, etc. -- Japan -- History and criticism. ; Animated films -- Japan -- History and criticism.</t>
  </si>
  <si>
    <t>https://ebookcentral.proquest.com/lib/nclive-ebooks/detail.action?docID=1900027</t>
  </si>
  <si>
    <t>Colloquial Tamil : The Complete Course for Beginners</t>
  </si>
  <si>
    <t>Annamalai, E.;Asher, R. E.</t>
  </si>
  <si>
    <t>PL4753.A84 2002</t>
  </si>
  <si>
    <t>Spoken Tamil</t>
  </si>
  <si>
    <t>https://ebookcentral.proquest.com/lib/nclive-ebooks/detail.action?docID=2194949</t>
  </si>
  <si>
    <t>Barack Obama : A Biography</t>
  </si>
  <si>
    <t>Greenwood Press</t>
  </si>
  <si>
    <t>Price, Joann F.</t>
  </si>
  <si>
    <t>E901.1.O23 -- P75 2008eb</t>
  </si>
  <si>
    <t>328.73092;B</t>
  </si>
  <si>
    <t>Obama, Barack. ; United States. -- Congress. -- Senate -- Biography. ; African American legislators -- Biography. ; Legislators -- United States -- Biography. ; Presidential candidates -- United States -- Biography. ; Illinois -- Politics and government -- 1951- ; United States -- Politics and government -- 2001-2009.</t>
  </si>
  <si>
    <t>https://ebookcentral.proquest.com/lib/nclive-ebooks/detail.action?docID=3001206</t>
  </si>
  <si>
    <t>Civil War</t>
  </si>
  <si>
    <t>Cimbala, P. A.</t>
  </si>
  <si>
    <t>E607 -- .C56 2008eb</t>
  </si>
  <si>
    <t>Confederate States of America. -- Army -- Military life. ; United States. -- Army -- Military life -- History -- 19th century. ; Motivation (Psychology) -- United States -- History -- 19th century. ; Soldiers -- Confederate States of America -- Social conditions. ; Soldiers -- United States -- Social conditions -- 19th century. ; United States -- History -- Civil War, 1861-1865 -- Psychological aspects. ; United States -- History -- Civil War, 1861-1865 -- Social aspects.</t>
  </si>
  <si>
    <t>https://ebookcentral.proquest.com/lib/nclive-ebooks/detail.action?docID=3001219</t>
  </si>
  <si>
    <t>Race Relations in the United States, 1980-2000</t>
  </si>
  <si>
    <t>Messer-Kruse, Timothy</t>
  </si>
  <si>
    <t>E184.A1 -- M44 2008eb</t>
  </si>
  <si>
    <t>African Americans -- Social conditions -- 20th century. ; Minorities -- United States -- Social conditions -- 20th century. ; Racism -- United States -- History -- 20th century. ; United States -- Race relations -- History -- 20th century. ; United States -- Social conditions -- 1980-</t>
  </si>
  <si>
    <t>https://ebookcentral.proquest.com/lib/nclive-ebooks/detail.action?docID=3001238</t>
  </si>
  <si>
    <t>9/11 Encyclopedia</t>
  </si>
  <si>
    <t xml:space="preserve">Atkins, Stephen E.;Atkins, Stephen E </t>
  </si>
  <si>
    <t>HV6432.7 -- .A85 2008eb</t>
  </si>
  <si>
    <t>September 11 Terrorist Attacks, 2001 -- Encyclopedias.;September 11 Terrorist Attacks, 2001 -- Influence -- Encyclopedias.</t>
  </si>
  <si>
    <t>https://ebookcentral.proquest.com/lib/nclive-ebooks/detail.action?docID=3001241</t>
  </si>
  <si>
    <t>Milestones in American History : Outbreak of the Civil War</t>
  </si>
  <si>
    <t>Chelsea House</t>
  </si>
  <si>
    <t>Facts on File</t>
  </si>
  <si>
    <t>Wagner, Heather Lehr</t>
  </si>
  <si>
    <t>E468.9 -- .W25 2009eb</t>
  </si>
  <si>
    <t>973.7/11</t>
  </si>
  <si>
    <t>Davis, Jefferson, -- 1808-1889 -- Juvenile literature. ; Lincoln, Abraham, -- 1809-1865 -- Juvenile literature. ; Slavery -- United States -- History -- Juvenile literature. ; Secession -- Southern States -- Juvenile literature. ; United States -- History -- Civil War, 1861-1865 -- Causes -- Juvenile literature. ; United States -- History -- Civil War, 1861-1865 -- Juvenile literature. ; United States -- Politics and government -- 1849-1861 -- Juvenile literature.</t>
  </si>
  <si>
    <t>https://ebookcentral.proquest.com/lib/nclive-ebooks/detail.action?docID=3009796</t>
  </si>
  <si>
    <t>Library of Health and Living : Encyclopedia of Genetic Disorders and Birth Defects (3rd Edition)</t>
  </si>
  <si>
    <t>Facts On File, Incorporated</t>
  </si>
  <si>
    <t>Wynbrandt, James;Ludman, Mark D.</t>
  </si>
  <si>
    <t>RB155.5 -- .W96 2008eb</t>
  </si>
  <si>
    <t>616/.04203</t>
  </si>
  <si>
    <t>Genetic disorders -- Encyclopedias. ; Abnormalities, Human -- Encyclopedias.</t>
  </si>
  <si>
    <t>https://ebookcentral.proquest.com/lib/nclive-ebooks/detail.action?docID=3009856</t>
  </si>
  <si>
    <t>Through Survivors' Eyes : From the Sixties to the Greensboro Massacre</t>
  </si>
  <si>
    <t>Vanderbilt University Press</t>
  </si>
  <si>
    <t>Bermanzohn, Sally Avery</t>
  </si>
  <si>
    <t>F264.G8 -- B468 2003eb</t>
  </si>
  <si>
    <t>323/.092/275662</t>
  </si>
  <si>
    <t>Ku Klux Klan (1915- ) -- North Carolina -- Greensboro -- History -- 20th century. ; Civil rights workers -- North Carolina -- Greensboro -- Interviews. ; Political activists -- North Carolina -- Greensboro -- Interviews. ; Massacres -- North Carolina -- Greensboro -- History -- 20th century. ; Riots -- North Carolina -- Greensboro -- History -- 20th century. ; Greensboro (N.C.) -- Biography. ; Greensboro (N.C.) -- Race relations.</t>
  </si>
  <si>
    <t>https://ebookcentral.proquest.com/lib/nclive-ebooks/detail.action?docID=3040010</t>
  </si>
  <si>
    <t>Everyday Practice of Science : Where Intuition and Passion Meet Objectivity and Logic</t>
  </si>
  <si>
    <t>Grinnell, Frederick</t>
  </si>
  <si>
    <t>Science; Science: General</t>
  </si>
  <si>
    <t>Q175.G7538 2009</t>
  </si>
  <si>
    <t>Science -- Methodology. ; Science -- Social aspects.</t>
  </si>
  <si>
    <t>https://ebookcentral.proquest.com/lib/nclive-ebooks/detail.action?docID=3052991</t>
  </si>
  <si>
    <t>Encyclopedia of Rural America</t>
  </si>
  <si>
    <t>Grey House Publishing</t>
  </si>
  <si>
    <t>Goreham, Gary</t>
  </si>
  <si>
    <t>E169.12 -- .E5 2008eb</t>
  </si>
  <si>
    <t>Country life -- United States -- Encyclopedias. ; United States -- Rural conditions -- Encyclopedias. ; United States -- Geography -- Encyclopedias.</t>
  </si>
  <si>
    <t>https://ebookcentral.proquest.com/lib/nclive-ebooks/detail.action?docID=3299498</t>
  </si>
  <si>
    <t>American Indian Biographies</t>
  </si>
  <si>
    <t>Salem Press, Incorporated</t>
  </si>
  <si>
    <t>Salem Press</t>
  </si>
  <si>
    <t>Revised</t>
  </si>
  <si>
    <t>Barrett, Carole A.;Markowitz, Harvey J.;Rasmussen, R. Kent</t>
  </si>
  <si>
    <t>E89 -- .A46 2005eb</t>
  </si>
  <si>
    <t>920/.009297;B</t>
  </si>
  <si>
    <t>Indians of North America -- Biography. ; Indians of North America -- Kings and rulers -- Biography. ; Indian women -- North America -- Biography.</t>
  </si>
  <si>
    <t>https://ebookcentral.proquest.com/lib/nclive-ebooks/detail.action?docID=3400412</t>
  </si>
  <si>
    <t>American Villains</t>
  </si>
  <si>
    <t>The Editors of Salem Press</t>
  </si>
  <si>
    <t>HV6785 -- .A44 2008eb</t>
  </si>
  <si>
    <t>Criminals -- United States -- Biography.;Criminal justice, Administration of -- United States -- History.</t>
  </si>
  <si>
    <t>https://ebookcentral.proquest.com/lib/nclive-ebooks/detail.action?docID=3400416</t>
  </si>
  <si>
    <t>American Heroes</t>
  </si>
  <si>
    <t>CT105 -- .A473 2008eb</t>
  </si>
  <si>
    <t>Heroes -- United States -- Biography.;Celebrities -- United States -- Biography.</t>
  </si>
  <si>
    <t>https://ebookcentral.proquest.com/lib/nclive-ebooks/detail.action?docID=3400417</t>
  </si>
  <si>
    <t>Police and Policing : An Introduction</t>
  </si>
  <si>
    <t>Waterside Press</t>
  </si>
  <si>
    <t>Introductory Ser.</t>
  </si>
  <si>
    <t>Villiers, Peter;Orde, Sir Hugh</t>
  </si>
  <si>
    <t>HV7921 -- .V54 2009eb</t>
  </si>
  <si>
    <t>Police administration. ; Police.</t>
  </si>
  <si>
    <t>https://ebookcentral.proquest.com/lib/nclive-ebooks/detail.action?docID=3416294</t>
  </si>
  <si>
    <t>The Annotated Waste Land with Eliot's Contemporary Prose</t>
  </si>
  <si>
    <t>Yale University Press</t>
  </si>
  <si>
    <t>Eliot, T. S.;Rainey, Lawrence</t>
  </si>
  <si>
    <t>Literature</t>
  </si>
  <si>
    <t>PS3509.L43W3 2006</t>
  </si>
  <si>
    <t>Eliot, T. S. -- (Thomas Stearns), -- 1888-1965. -- Waste land. ; English poetry -- 20th century.</t>
  </si>
  <si>
    <t>https://ebookcentral.proquest.com/lib/nclive-ebooks/detail.action?docID=3419857</t>
  </si>
  <si>
    <t>A Midsummer Night's Dream</t>
  </si>
  <si>
    <t>The Annotated Shakespeare Ser.</t>
  </si>
  <si>
    <t>Shakespeare, William;Raffel, Burton;Bloom, Harold</t>
  </si>
  <si>
    <t>PR2827.A2 -- R34 2005eb</t>
  </si>
  <si>
    <t>Courtship -- Drama. ; Hippolyta (Greek mythology) -- Drama. ; Theseus (Greek mythology) -- Drama. ; Athens (Greece) -- Drama.</t>
  </si>
  <si>
    <t>https://ebookcentral.proquest.com/lib/nclive-ebooks/detail.action?docID=3420248</t>
  </si>
  <si>
    <t>The Merchant of Venice</t>
  </si>
  <si>
    <t>PR2825.A2R34 2006</t>
  </si>
  <si>
    <t>822.3/3</t>
  </si>
  <si>
    <t>Jews -- Italy -- Drama. ; Moneylenders -- Drama. ; Venice (Italy) -- Drama.</t>
  </si>
  <si>
    <t>https://ebookcentral.proquest.com/lib/nclive-ebooks/detail.action?docID=3420255</t>
  </si>
  <si>
    <t>The Tempest</t>
  </si>
  <si>
    <t>PR2833.A2R34 2006</t>
  </si>
  <si>
    <t>Fathers and daughters -- Drama. ; Islands -- Drama. ; Magicians -- Drama. ; Political refugees -- Drama. ; Shipwreck victims -- Drama. ; Spirits -- Drama.</t>
  </si>
  <si>
    <t>https://ebookcentral.proquest.com/lib/nclive-ebooks/detail.action?docID=3420286</t>
  </si>
  <si>
    <t>Frontiers of History : Historical Inquiry in the Twentieth Century</t>
  </si>
  <si>
    <t>Kelley, Donald R.</t>
  </si>
  <si>
    <t>D13.K43 2006</t>
  </si>
  <si>
    <t>Historiography -- History -- 20th century. ; History -- Philosophy.</t>
  </si>
  <si>
    <t>https://ebookcentral.proquest.com/lib/nclive-ebooks/detail.action?docID=3420316</t>
  </si>
  <si>
    <t>The Atomic Bomb and the Origins of the Cold War</t>
  </si>
  <si>
    <t>Craig, Campbell;Radchenko, Sergey</t>
  </si>
  <si>
    <t>D843.C67 2008</t>
  </si>
  <si>
    <t>Cold War. ; Atomic bomb -- Political aspects. ; United States -- Foreign relations -- Soviet Union. ; Soviet Union -- Foreign relations -- United States. ; United States -- Foreign relations -- 1945-1953. ; Soviet Union -- Foreign relations -- 1945-1991.</t>
  </si>
  <si>
    <t>https://ebookcentral.proquest.com/lib/nclive-ebooks/detail.action?docID=3420425</t>
  </si>
  <si>
    <t>History Lesson : A Race Odyssey</t>
  </si>
  <si>
    <t>Lefkowitz, Mary</t>
  </si>
  <si>
    <t>D16.2.L44 2008</t>
  </si>
  <si>
    <t>907.1/17447</t>
  </si>
  <si>
    <t>Lefkowitz, Mary R., -- 1935- ; Wellesley College. ; History -- Study and teaching (Higher) -- Massachusetts. ; Postmodernism and higher education. ; Racism in higher education. ; Antisemitism in higher education. ; Academic freedom.</t>
  </si>
  <si>
    <t>https://ebookcentral.proquest.com/lib/nclive-ebooks/detail.action?docID=3420432</t>
  </si>
  <si>
    <t>Chinese grammar made Easy : A practical and effective guide for teachers = Dui wai Han yu yu yan dian jiao xue 150 Li</t>
  </si>
  <si>
    <t>Bai, Jianhua</t>
  </si>
  <si>
    <t>PL1103.B33 2009</t>
  </si>
  <si>
    <t>Chinese language -- Grammar. ; Chinese language -- Textbooks for foreign speakers.</t>
  </si>
  <si>
    <t>https://ebookcentral.proquest.com/lib/nclive-ebooks/detail.action?docID=3420441</t>
  </si>
  <si>
    <t>Borderlines in Borderlands : James Madison and the Spanish-American Frontier, 1776-1821</t>
  </si>
  <si>
    <t>The Lamar Series in Western History Ser.</t>
  </si>
  <si>
    <t>Stagg, J. C. A.</t>
  </si>
  <si>
    <t>E342.S69 2009</t>
  </si>
  <si>
    <t>973.5/1092</t>
  </si>
  <si>
    <t>Madison, James, -- 1751-1836 -- Political and social views. ; Spain. -- Treaties, etc. -- United States, -- (1819 Feb. 22) ; International relations -- History. ; Southern boundary of the United States -- History -- 18th century. ; Southern boundary of the United States -- History -- 19th century. ; East Florida -- History. ; West Florida -- History.</t>
  </si>
  <si>
    <t>https://ebookcentral.proquest.com/lib/nclive-ebooks/detail.action?docID=3420444</t>
  </si>
  <si>
    <t>Wall Street : America's Dream Palace</t>
  </si>
  <si>
    <t>Icons of America Ser.</t>
  </si>
  <si>
    <t>Fraser, Steve;Fraser, Steve</t>
  </si>
  <si>
    <t>Business/Management; Economics</t>
  </si>
  <si>
    <t>HG172.A2F72 2008</t>
  </si>
  <si>
    <t>332.64/273</t>
  </si>
  <si>
    <t>Capitalists and financiers -- United States -- Biography. ; Wall Street (New York, N.Y.) -- History.</t>
  </si>
  <si>
    <t>https://ebookcentral.proquest.com/lib/nclive-ebooks/detail.action?docID=3420545</t>
  </si>
  <si>
    <t>Savages and Scoundrels : The Great Treaty at Horse Creek and the Making of America</t>
  </si>
  <si>
    <t>VanDevelder, Paul</t>
  </si>
  <si>
    <t>E93.V36 2009</t>
  </si>
  <si>
    <t>Indians of North America -- Government relations. ; Indians of North America -- Land tenure. ; United States -- Territorial expansion -- History.</t>
  </si>
  <si>
    <t>https://ebookcentral.proquest.com/lib/nclive-ebooks/detail.action?docID=3420607</t>
  </si>
  <si>
    <t>Fighting Cancer with Knowledge and Hope : A Guide for Patients, Families, and Health Care Providers</t>
  </si>
  <si>
    <t>Yale University Press Health and Wellness Ser.</t>
  </si>
  <si>
    <t>Frank, Richard C.;Parsons, Gale V.</t>
  </si>
  <si>
    <t>RC263.F695 2009</t>
  </si>
  <si>
    <t>616.99/4</t>
  </si>
  <si>
    <t>Cancer -- Popular works.</t>
  </si>
  <si>
    <t>https://ebookcentral.proquest.com/lib/nclive-ebooks/detail.action?docID=3420954</t>
  </si>
  <si>
    <t>Magill's Choice: Crime and Punishment in the U.S.</t>
  </si>
  <si>
    <t>Gerstenfeld, Phyllis B.</t>
  </si>
  <si>
    <t>HV6779 -- .C756 2008eb</t>
  </si>
  <si>
    <t>Crime--United States--Case studies--Encyclopedias.</t>
  </si>
  <si>
    <t>https://ebookcentral.proquest.com/lib/nclive-ebooks/detail.action?docID=4458679</t>
  </si>
  <si>
    <t>The Nineties in America</t>
  </si>
  <si>
    <t>Berman, Milton</t>
  </si>
  <si>
    <t>E839.N56 2009</t>
  </si>
  <si>
    <t>United States--History--1969---Encyclopedias.</t>
  </si>
  <si>
    <t>https://ebookcentral.proquest.com/lib/nclive-ebooks/detail.action?docID=4458693</t>
  </si>
  <si>
    <t>Criminal Justice : An Introduction</t>
  </si>
  <si>
    <t>Joyce, Peter</t>
  </si>
  <si>
    <t>HV9960.G7.J69 2006</t>
  </si>
  <si>
    <t>Criminal justice, Administration of--Great Britain.</t>
  </si>
  <si>
    <t>https://ebookcentral.proquest.com/lib/nclive-ebooks/detail.action?docID=4643390</t>
  </si>
  <si>
    <t>Schaum's Outline of Latin Grammar</t>
  </si>
  <si>
    <t>McGraw-Hill Professional Publishing</t>
  </si>
  <si>
    <t>McGraw-Hill Professional</t>
  </si>
  <si>
    <t>Fishborn, Alan</t>
  </si>
  <si>
    <t>PA2100.F57 2002</t>
  </si>
  <si>
    <t>478.2/421</t>
  </si>
  <si>
    <t>Latin language--Grammar--Outlines, syllabi, etc.</t>
  </si>
  <si>
    <t>https://ebookcentral.proquest.com/lib/nclive-ebooks/detail.action?docID=4654942</t>
  </si>
  <si>
    <t>Countdown to Spanish</t>
  </si>
  <si>
    <t>McGraw-Hill/Contemporary</t>
  </si>
  <si>
    <t>Stein, Gail</t>
  </si>
  <si>
    <t>Language/Linguistics; Juvenile Literature</t>
  </si>
  <si>
    <t>PC4129.E5.S73 2004</t>
  </si>
  <si>
    <t>Spanish language--Textbooks for foreign speakers--English.</t>
  </si>
  <si>
    <t>https://ebookcentral.proquest.com/lib/nclive-ebooks/detail.action?docID=4655190</t>
  </si>
  <si>
    <t>Countdown to French</t>
  </si>
  <si>
    <t>PC2129.E5.S7626 2004</t>
  </si>
  <si>
    <t>French language--Textbooks for foreign speakers--English.</t>
  </si>
  <si>
    <t>https://ebookcentral.proquest.com/lib/nclive-ebooks/detail.action?docID=4655198</t>
  </si>
  <si>
    <t>Big Gold Book of Latin Verbs</t>
  </si>
  <si>
    <t>McGraw-Hill Companies, The</t>
  </si>
  <si>
    <t>Betts, Gavin;Franklin, Dan;Franklin, Daniel</t>
  </si>
  <si>
    <t>PA2215.B48 2004</t>
  </si>
  <si>
    <t>Latin language--Verb.</t>
  </si>
  <si>
    <t>https://ebookcentral.proquest.com/lib/nclive-ebooks/detail.action?docID=4655275</t>
  </si>
  <si>
    <t>Activities That Stimulate the Mind</t>
  </si>
  <si>
    <t>Bazan-Salazar, Emilia C.</t>
  </si>
  <si>
    <t>RC523.B395 2005</t>
  </si>
  <si>
    <t>362.196/831</t>
  </si>
  <si>
    <t>Alzheimer's disease--Patients--Rehabilitation.</t>
  </si>
  <si>
    <t>https://ebookcentral.proquest.com/lib/nclive-ebooks/detail.action?docID=4655451</t>
  </si>
  <si>
    <t>What Is Lean Six Sigma?</t>
  </si>
  <si>
    <t>McGraw-Hill</t>
  </si>
  <si>
    <t>George, Mike;Rowlands, Dave;Kastle, Bill</t>
  </si>
  <si>
    <t>TS156.G47 2004</t>
  </si>
  <si>
    <t>Production management--Quality control.</t>
  </si>
  <si>
    <t>https://ebookcentral.proquest.com/lib/nclive-ebooks/detail.action?docID=4655761</t>
  </si>
  <si>
    <t>Practice Makes Perfect</t>
  </si>
  <si>
    <t>Prior, Richard</t>
  </si>
  <si>
    <t>PA2150.P75 2006</t>
  </si>
  <si>
    <t>https://ebookcentral.proquest.com/lib/nclive-ebooks/detail.action?docID=4656170</t>
  </si>
  <si>
    <t>French in Your Face!</t>
  </si>
  <si>
    <t>Nisset, Luc</t>
  </si>
  <si>
    <t>PC2129.E5.N57 2007</t>
  </si>
  <si>
    <t>https://ebookcentral.proquest.com/lib/nclive-ebooks/detail.action?docID=4656497</t>
  </si>
  <si>
    <t>Dictionary of Architecture and Construction</t>
  </si>
  <si>
    <t>Harris, Cyril M.</t>
  </si>
  <si>
    <t>NA31.H32 2006</t>
  </si>
  <si>
    <t>720/.3</t>
  </si>
  <si>
    <t>Architecture--Dictionaries.</t>
  </si>
  <si>
    <t>https://ebookcentral.proquest.com/lib/nclive-ebooks/detail.action?docID=4656541</t>
  </si>
  <si>
    <t>Schaum's Outline of Italian Grammar (3rd Edition)</t>
  </si>
  <si>
    <t>Schaum's Outline</t>
  </si>
  <si>
    <t>Germano, Joseph;Schmitt, Conrad J.</t>
  </si>
  <si>
    <t>PC1112.G47 2007</t>
  </si>
  <si>
    <t>Italian language--Grammar.</t>
  </si>
  <si>
    <t>https://ebookcentral.proquest.com/lib/nclive-ebooks/detail.action?docID=4656548</t>
  </si>
  <si>
    <t>Just Enough German (2nd Edition)</t>
  </si>
  <si>
    <t>Just Enough Phrasebook</t>
  </si>
  <si>
    <t>Ellis, D. L.;Ellis, D L;D L Ellis,</t>
  </si>
  <si>
    <t>PF3121.E65 2007</t>
  </si>
  <si>
    <t>438.3/421</t>
  </si>
  <si>
    <t>German language--Conversation and phrase books--English.</t>
  </si>
  <si>
    <t>https://ebookcentral.proquest.com/lib/nclive-ebooks/detail.action?docID=4656553</t>
  </si>
  <si>
    <t>Devney Richmond, Dorothy M.;Richmond, Devney</t>
  </si>
  <si>
    <t>PC4445R.R53 2007</t>
  </si>
  <si>
    <t>Spanish language--Vocabulary.</t>
  </si>
  <si>
    <t>https://ebookcentral.proquest.com/lib/nclive-ebooks/detail.action?docID=4656580</t>
  </si>
  <si>
    <t>German Grammar Drills</t>
  </si>
  <si>
    <t>Swick, Ed</t>
  </si>
  <si>
    <t>PF3112.S953 2007</t>
  </si>
  <si>
    <t>German language--Grammar.</t>
  </si>
  <si>
    <t>https://ebookcentral.proquest.com/lib/nclive-ebooks/detail.action?docID=4656644</t>
  </si>
  <si>
    <t>Handbook of Program Management</t>
  </si>
  <si>
    <t>Brown, James T.</t>
  </si>
  <si>
    <t>HD69.P75.B762 2007</t>
  </si>
  <si>
    <t>Management--Handbooks, manuals, etc.</t>
  </si>
  <si>
    <t>https://ebookcentral.proquest.com/lib/nclive-ebooks/detail.action?docID=4656687</t>
  </si>
  <si>
    <t>Italian Grammar Drills</t>
  </si>
  <si>
    <t>Nanni-Tate, Paola</t>
  </si>
  <si>
    <t>PC1112.N36 2007</t>
  </si>
  <si>
    <t>https://ebookcentral.proquest.com/lib/nclive-ebooks/detail.action?docID=4656688</t>
  </si>
  <si>
    <t>Unlocking the Mystery of Eating Disorders</t>
  </si>
  <si>
    <t>Harvard Medical School Guides</t>
  </si>
  <si>
    <t>Herzog, David B.;Franko, Debra L.;Cable, Patti</t>
  </si>
  <si>
    <t>RJ506.E18.H477 2008</t>
  </si>
  <si>
    <t>618.92/8526</t>
  </si>
  <si>
    <t>Eating disorders in children--Popular works.</t>
  </si>
  <si>
    <t>https://ebookcentral.proquest.com/lib/nclive-ebooks/detail.action?docID=4656694</t>
  </si>
  <si>
    <t>French Grammar Drills</t>
  </si>
  <si>
    <t>Kurbegov, Eliane</t>
  </si>
  <si>
    <t>PC2112.5.K87 2007</t>
  </si>
  <si>
    <t>French language--Grammar--Problems, exercises, etc.</t>
  </si>
  <si>
    <t>https://ebookcentral.proquest.com/lib/nclive-ebooks/detail.action?docID=4656695</t>
  </si>
  <si>
    <t>PC2129.E5.K87 2008</t>
  </si>
  <si>
    <t>https://ebookcentral.proquest.com/lib/nclive-ebooks/detail.action?docID=4656705</t>
  </si>
  <si>
    <t>iSpeak English Phrasebook</t>
  </si>
  <si>
    <t>ISpeak Audio Phrasebook</t>
  </si>
  <si>
    <t>Chapin, Alex</t>
  </si>
  <si>
    <t>PE1129.S8.C43 2007</t>
  </si>
  <si>
    <t>English language--Conversation and phrase books--Spanish.</t>
  </si>
  <si>
    <t>https://ebookcentral.proquest.com/lib/nclive-ebooks/detail.action?docID=4656717</t>
  </si>
  <si>
    <t>Italian Demystified</t>
  </si>
  <si>
    <t>Danesi, Marcel</t>
  </si>
  <si>
    <t>PC1129.E5.D366 2007</t>
  </si>
  <si>
    <t>Italian language--Textbooks for foreign speakers--English.</t>
  </si>
  <si>
    <t>https://ebookcentral.proquest.com/lib/nclive-ebooks/detail.action?docID=4656726</t>
  </si>
  <si>
    <t>German Demystified</t>
  </si>
  <si>
    <t>Swick, Edward</t>
  </si>
  <si>
    <t>PF3112.S95 2007</t>
  </si>
  <si>
    <t>438.2/421</t>
  </si>
  <si>
    <t>https://ebookcentral.proquest.com/lib/nclive-ebooks/detail.action?docID=4656740</t>
  </si>
  <si>
    <t>Booth, Trudie</t>
  </si>
  <si>
    <t>PC2271.B65 2008</t>
  </si>
  <si>
    <t>French language--Verb--Problems, exercises, etc.</t>
  </si>
  <si>
    <t>https://ebookcentral.proquest.com/lib/nclive-ebooks/detail.action?docID=4656750</t>
  </si>
  <si>
    <t>Heminway, Annie</t>
  </si>
  <si>
    <t>PC2112.H46 2007</t>
  </si>
  <si>
    <t>https://ebookcentral.proquest.com/lib/nclive-ebooks/detail.action?docID=4656756</t>
  </si>
  <si>
    <t>Just Enough Spanish Grammar Illustrated</t>
  </si>
  <si>
    <t>Stobbe, Gabrielle</t>
  </si>
  <si>
    <t>PC4112.S77 2008</t>
  </si>
  <si>
    <t>Spanish language--Grammar.</t>
  </si>
  <si>
    <t>https://ebookcentral.proquest.com/lib/nclive-ebooks/detail.action?docID=4656771</t>
  </si>
  <si>
    <t>Arabic Verbs and Essentials of Grammar (2nd Edition)</t>
  </si>
  <si>
    <t>Verbs and Essentials of Grammar</t>
  </si>
  <si>
    <t>Wightwick, Jane;Gaafar, Mahmoud</t>
  </si>
  <si>
    <t>PJ6145.W55 2008</t>
  </si>
  <si>
    <t>Arabic language--Verb phrase.</t>
  </si>
  <si>
    <t>Arabic</t>
  </si>
  <si>
    <t>https://ebookcentral.proquest.com/lib/nclive-ebooks/detail.action?docID=4656780</t>
  </si>
  <si>
    <t>Spanish Demystified</t>
  </si>
  <si>
    <t>Petrow, Jenny</t>
  </si>
  <si>
    <t>PC4129.E5.P58 2007</t>
  </si>
  <si>
    <t>https://ebookcentral.proquest.com/lib/nclive-ebooks/detail.action?docID=4656785</t>
  </si>
  <si>
    <t>French Demystified</t>
  </si>
  <si>
    <t>PC2112.5.H46 2007</t>
  </si>
  <si>
    <t>French language--Self-instruction.</t>
  </si>
  <si>
    <t>https://ebookcentral.proquest.com/lib/nclive-ebooks/detail.action?docID=4656786</t>
  </si>
  <si>
    <t>Nurse's Toolbook for Promoting Wellness</t>
  </si>
  <si>
    <t>Miller, Carol</t>
  </si>
  <si>
    <t>RT86.3.M45 2008</t>
  </si>
  <si>
    <t>610.7306/9</t>
  </si>
  <si>
    <t>Nurse and patient.</t>
  </si>
  <si>
    <t>https://ebookcentral.proquest.com/lib/nclive-ebooks/detail.action?docID=4656868</t>
  </si>
  <si>
    <t>Spanish in Your Face!</t>
  </si>
  <si>
    <t>Nisset, Luc;Gill, Mary McVey;McVey Gill, Mary</t>
  </si>
  <si>
    <t>Social Science; Juvenile Literature</t>
  </si>
  <si>
    <t>P99.5.N55 2008</t>
  </si>
  <si>
    <t>302.2/22</t>
  </si>
  <si>
    <t>Nonverbal communication.</t>
  </si>
  <si>
    <t>https://ebookcentral.proquest.com/lib/nclive-ebooks/detail.action?docID=4656877</t>
  </si>
  <si>
    <t>PC1129.E5.G63 2008</t>
  </si>
  <si>
    <t>https://ebookcentral.proquest.com/lib/nclive-ebooks/detail.action?docID=4656903</t>
  </si>
  <si>
    <t>Say It Right in Brazilian Portuguese</t>
  </si>
  <si>
    <t>Easily Pronounced Language Systems;EPLS Staff</t>
  </si>
  <si>
    <t>PC5079.S29 2007</t>
  </si>
  <si>
    <t>469.7/98</t>
  </si>
  <si>
    <t>Portuguese language--Pronunciation.</t>
  </si>
  <si>
    <t>https://ebookcentral.proquest.com/lib/nclive-ebooks/detail.action?docID=4656949</t>
  </si>
  <si>
    <t>Say It Right in Russian</t>
  </si>
  <si>
    <t>Peters, Clyde;Easily Pronounced Language Systems, Inc. Staff</t>
  </si>
  <si>
    <t>PG2137.S235 2008</t>
  </si>
  <si>
    <t>491.783/421</t>
  </si>
  <si>
    <t>Russian language--Pronunciation by foreign speakers.</t>
  </si>
  <si>
    <t>https://ebookcentral.proquest.com/lib/nclive-ebooks/detail.action?docID=4656954</t>
  </si>
  <si>
    <t>Perfect Phrases in Spanish for Household Maintenance and Childcare</t>
  </si>
  <si>
    <t>Perfect Phrases</t>
  </si>
  <si>
    <t>Yates, Jean</t>
  </si>
  <si>
    <t>PC4120.S45.Y38 2008</t>
  </si>
  <si>
    <t>468.3/42102464046</t>
  </si>
  <si>
    <t>Spanish language--Conversation and phrase books (for domestics)</t>
  </si>
  <si>
    <t>https://ebookcentral.proquest.com/lib/nclive-ebooks/detail.action?docID=4656959</t>
  </si>
  <si>
    <t>Perfect Phrases in Spanish for the Hotel and Restaurant Industries</t>
  </si>
  <si>
    <t>PC4120.R4.Y38 2008</t>
  </si>
  <si>
    <t>Spanish language--Conversation and phrase books (for restaurant and hotel personnel)</t>
  </si>
  <si>
    <t>https://ebookcentral.proquest.com/lib/nclive-ebooks/detail.action?docID=4657010</t>
  </si>
  <si>
    <t>Vallecillos, Rogelio Alonso</t>
  </si>
  <si>
    <t>PC4112.5.A55 2007</t>
  </si>
  <si>
    <t>https://ebookcentral.proquest.com/lib/nclive-ebooks/detail.action?docID=4657011</t>
  </si>
  <si>
    <t>Perfect Phrases in Spanish for Gardening and Landscaping</t>
  </si>
  <si>
    <t>Yates, Jean;Yates, Jean</t>
  </si>
  <si>
    <t>PC4120.G35.Y38 2008</t>
  </si>
  <si>
    <t>468.3/421024635</t>
  </si>
  <si>
    <t>Spanish language--Conversation and phrase books (for gardeners)</t>
  </si>
  <si>
    <t>https://ebookcentral.proquest.com/lib/nclive-ebooks/detail.action?docID=4657036</t>
  </si>
  <si>
    <t>Big Red Book of Spanish Grammar</t>
  </si>
  <si>
    <t>Vargas, Dora del Carmen</t>
  </si>
  <si>
    <t>PC4112.V37 2008</t>
  </si>
  <si>
    <t>https://ebookcentral.proquest.com/lib/nclive-ebooks/detail.action?docID=4657084</t>
  </si>
  <si>
    <t>Nurse-to-Nurse</t>
  </si>
  <si>
    <t>Larrabee, June Hansen</t>
  </si>
  <si>
    <t>RT84.5.L37 2008</t>
  </si>
  <si>
    <t>Evidence-based nursing.</t>
  </si>
  <si>
    <t>https://ebookcentral.proquest.com/lib/nclive-ebooks/detail.action?docID=4657141</t>
  </si>
  <si>
    <t>Schaum's Outline of Spanish Vocabulary (3rd Edition)</t>
  </si>
  <si>
    <t>Schmitt, Conrad J.</t>
  </si>
  <si>
    <t>PC4121.S345 2008</t>
  </si>
  <si>
    <t>Spanish language--Conversation and phrase books--English.</t>
  </si>
  <si>
    <t>https://ebookcentral.proquest.com/lib/nclive-ebooks/detail.action?docID=4657156</t>
  </si>
  <si>
    <t>Nurse to Nurse</t>
  </si>
  <si>
    <t>Campbell, Margaret L.</t>
  </si>
  <si>
    <t>Medicine; Nursing</t>
  </si>
  <si>
    <t>RT87.T45.C36 2008</t>
  </si>
  <si>
    <t>616/.029</t>
  </si>
  <si>
    <t>Palliative treatment.</t>
  </si>
  <si>
    <t>https://ebookcentral.proquest.com/lib/nclive-ebooks/detail.action?docID=4657157</t>
  </si>
  <si>
    <t>Perfect Phrases in Spanish for Construction</t>
  </si>
  <si>
    <t>PC4120.C64.Y38 2008</t>
  </si>
  <si>
    <t>468.3/421024624</t>
  </si>
  <si>
    <t>Spanish language--Conversation and phrase books (for construction industry employees)</t>
  </si>
  <si>
    <t>https://ebookcentral.proquest.com/lib/nclive-ebooks/detail.action?docID=4657165</t>
  </si>
  <si>
    <t>Scemons, Donna J.;Elston, Denise</t>
  </si>
  <si>
    <t>RD93.95.S34 2008</t>
  </si>
  <si>
    <t>Wounds and injuries--Nursing.</t>
  </si>
  <si>
    <t>https://ebookcentral.proquest.com/lib/nclive-ebooks/detail.action?docID=4657241</t>
  </si>
  <si>
    <t>PgMP Program Management Professional All-in-One Exam Guide</t>
  </si>
  <si>
    <t>Phillips, Joseph</t>
  </si>
  <si>
    <t>HD69.P75.P4945 2009</t>
  </si>
  <si>
    <t>658.4/04076</t>
  </si>
  <si>
    <t>Project management--Certification--Study guides.</t>
  </si>
  <si>
    <t>https://ebookcentral.proquest.com/lib/nclive-ebooks/detail.action?docID=4657257</t>
  </si>
  <si>
    <t>Green Building Through Integrated Design</t>
  </si>
  <si>
    <t>Yudelson, Jerry</t>
  </si>
  <si>
    <t>TH880.Y635 2009</t>
  </si>
  <si>
    <t>Building--Methodology.</t>
  </si>
  <si>
    <t>https://ebookcentral.proquest.com/lib/nclive-ebooks/detail.action?docID=4657273</t>
  </si>
  <si>
    <t>Easy Italian Step-by-Step</t>
  </si>
  <si>
    <t>PC1112.N36 2009</t>
  </si>
  <si>
    <t>https://ebookcentral.proquest.com/lib/nclive-ebooks/detail.action?docID=4657349</t>
  </si>
  <si>
    <t>Richmond, Dorothy</t>
  </si>
  <si>
    <t>Juvenile Literature; Language/Linguistics</t>
  </si>
  <si>
    <t>PC4112.R53 2009</t>
  </si>
  <si>
    <t>https://ebookcentral.proquest.com/lib/nclive-ebooks/detail.action?docID=4657352</t>
  </si>
  <si>
    <t>Easy French Step-by-Step</t>
  </si>
  <si>
    <t>Rochester, Myrna Bell</t>
  </si>
  <si>
    <t>PC2129.E5.R63 2009</t>
  </si>
  <si>
    <t>French language--Grammar.</t>
  </si>
  <si>
    <t>https://ebookcentral.proquest.com/lib/nclive-ebooks/detail.action?docID=4657355</t>
  </si>
  <si>
    <t>Perfect Phrases in Spanish for Confident Travel to Mexico</t>
  </si>
  <si>
    <t>Vogt, Eric</t>
  </si>
  <si>
    <t>PC4121.V66 2009</t>
  </si>
  <si>
    <t>https://ebookcentral.proquest.com/lib/nclive-ebooks/detail.action?docID=4657499</t>
  </si>
  <si>
    <t>Schaum's Outline of Russian Grammar (2nd Edition)</t>
  </si>
  <si>
    <t>Levine, James S.</t>
  </si>
  <si>
    <t>PG2112.L394 2009</t>
  </si>
  <si>
    <t>491.782/421</t>
  </si>
  <si>
    <t>Russian language--Grammar.</t>
  </si>
  <si>
    <t>https://ebookcentral.proquest.com/lib/nclive-ebooks/detail.action?docID=4657504</t>
  </si>
  <si>
    <t>Civil War, The: Primary Documents on Events from 1860 to 1865. Debating Historical Issues in the Media of the Time.</t>
  </si>
  <si>
    <t>Risley, Ford</t>
  </si>
  <si>
    <t>E462</t>
  </si>
  <si>
    <t>United States - History - Civil War, 1861-1865 - Sources</t>
  </si>
  <si>
    <t>https://ebookcentral.proquest.com/lib/nclive-ebooks/detail.action?docID=4947652</t>
  </si>
  <si>
    <t>Progressive Era, The: Primary Documents on Events from 1890 to 1914</t>
  </si>
  <si>
    <t>Burt, Elizabeth V.</t>
  </si>
  <si>
    <t>United States - History - 1865-1921</t>
  </si>
  <si>
    <t>https://ebookcentral.proquest.com/lib/nclive-ebooks/detail.action?docID=4947663</t>
  </si>
  <si>
    <t>Early Republic, The: Primary Documents on Events from 1799 to 1820</t>
  </si>
  <si>
    <t>Dooley, Patricia L.</t>
  </si>
  <si>
    <t>E301.E15 2</t>
  </si>
  <si>
    <t>United States - History - 1783-1815 - Press coverage.</t>
  </si>
  <si>
    <t>https://ebookcentral.proquest.com/lib/nclive-ebooks/detail.action?docID=4947671</t>
  </si>
  <si>
    <t>FBI Career Guide, The: Inside Information on Getting Chosen For and Succeding in One of the Toughest, Most Prestigious Jobs in the World</t>
  </si>
  <si>
    <t>AMACOM books</t>
  </si>
  <si>
    <t>Koletar, Joseph, W</t>
  </si>
  <si>
    <t>HV8144.F43K65 2006</t>
  </si>
  <si>
    <t>https://ebookcentral.proquest.com/lib/nclive-ebooks/detail.action?docID=4947791</t>
  </si>
  <si>
    <t>Conversational Latin For Oral Proficiency: Phrase Book and Dictionary Classical and Neo-Latin</t>
  </si>
  <si>
    <t>Bolchazy-Carducci Publishers</t>
  </si>
  <si>
    <t>Traupman, John C.</t>
  </si>
  <si>
    <t>https://ebookcentral.proquest.com/lib/nclive-ebooks/detail.action?docID=4949276</t>
  </si>
  <si>
    <t>Webster’s Marathi – English Thesaurus Dictionary</t>
  </si>
  <si>
    <t>ICON Group</t>
  </si>
  <si>
    <t>Parker, Philip M.;Parker, Philip M.</t>
  </si>
  <si>
    <t>https://ebookcentral.proquest.com/lib/nclive-ebooks/detail.action?docID=4954029</t>
  </si>
  <si>
    <t>Webster’s Panjabi (Eastern Dialect) – English Thesaurus Dictionary</t>
  </si>
  <si>
    <t>https://ebookcentral.proquest.com/lib/nclive-ebooks/detail.action?docID=4954031</t>
  </si>
  <si>
    <t>Webster’s Urdu – English Thesaurus Dictionary</t>
  </si>
  <si>
    <t>https://ebookcentral.proquest.com/lib/nclive-ebooks/detail.action?docID=4954036</t>
  </si>
  <si>
    <t>Webster’s Javanese - English Thesaurus Dictionary</t>
  </si>
  <si>
    <t>https://ebookcentral.proquest.com/lib/nclive-ebooks/detail.action?docID=4954048</t>
  </si>
  <si>
    <t>Webster’s Bengali - English Thesaurus Dictionary</t>
  </si>
  <si>
    <t>https://ebookcentral.proquest.com/lib/nclive-ebooks/detail.action?docID=4954057</t>
  </si>
  <si>
    <t>Webster’s Telugu - English Thesaurus Dictionary</t>
  </si>
  <si>
    <t>https://ebookcentral.proquest.com/lib/nclive-ebooks/detail.action?docID=4954066</t>
  </si>
  <si>
    <t>Webster’s Vietnamese - English Thesaurus Dictionary</t>
  </si>
  <si>
    <t>https://ebookcentral.proquest.com/lib/nclive-ebooks/detail.action?docID=4954069</t>
  </si>
  <si>
    <t>Counseling Youth</t>
  </si>
  <si>
    <t>Information Age Publishing, Incorporated</t>
  </si>
  <si>
    <t>Information Age</t>
  </si>
  <si>
    <t>Besley, Tina</t>
  </si>
  <si>
    <t>https://ebookcentral.proquest.com/lib/nclive-ebooks/detail.action?docID=4955968</t>
  </si>
  <si>
    <t>A Companion to American Cultural History</t>
  </si>
  <si>
    <t>Wiley Blackwell Companions to American History</t>
  </si>
  <si>
    <t>Halttunen, Karen;Halttunen, Karen</t>
  </si>
  <si>
    <t>E169.1</t>
  </si>
  <si>
    <t>https://ebookcentral.proquest.com/lib/nclive-ebooks/detail.action?docID=4956326</t>
  </si>
  <si>
    <t>A Companion to 19th-Century America</t>
  </si>
  <si>
    <t>Barney, William</t>
  </si>
  <si>
    <t>E338.C85 2001</t>
  </si>
  <si>
    <t>https://ebookcentral.proquest.com/lib/nclive-ebooks/detail.action?docID=4956342</t>
  </si>
  <si>
    <t>A Companion to the American Revolution</t>
  </si>
  <si>
    <t>Greene, Jack P.;Pole, J. R.;Pole, J. R.</t>
  </si>
  <si>
    <t>E208.C67 2000</t>
  </si>
  <si>
    <t>https://ebookcentral.proquest.com/lib/nclive-ebooks/detail.action?docID=4956357</t>
  </si>
  <si>
    <t>Occupational Health Nursing</t>
  </si>
  <si>
    <t>Oakley, Katie</t>
  </si>
  <si>
    <t>https://ebookcentral.proquest.com/lib/nclive-ebooks/detail.action?docID=4956368</t>
  </si>
  <si>
    <t>Versatile Leader, The: Make the Most of Your Strengths Without Overdoing It</t>
  </si>
  <si>
    <t>Kaplan, Robert E.; Kaiser, Robert B.</t>
  </si>
  <si>
    <t>https://ebookcentral.proquest.com/lib/nclive-ebooks/detail.action?docID=4957136</t>
  </si>
  <si>
    <t>Portuguese For Dummies</t>
  </si>
  <si>
    <t>https://ebookcentral.proquest.com/lib/nclive-ebooks/detail.action?docID=4957152</t>
  </si>
  <si>
    <t>Digital Photography For Dummies®</t>
  </si>
  <si>
    <t>King, Julie Adair; Timacheff, Serge</t>
  </si>
  <si>
    <t>https://ebookcentral.proquest.com/lib/nclive-ebooks/detail.action?docID=4957168</t>
  </si>
  <si>
    <t>CliffsNotes ACT Cram Plan</t>
  </si>
  <si>
    <t>Cliffs Notes</t>
  </si>
  <si>
    <t>Ma, William;Burstein, Jane R.;Vivion, Nichole</t>
  </si>
  <si>
    <t>https://ebookcentral.proquest.com/lib/nclive-ebooks/detail.action?docID=4957280</t>
  </si>
  <si>
    <t>Digital Photography Just the Steps For Dummies</t>
  </si>
  <si>
    <t>Obermeier, Barbara</t>
  </si>
  <si>
    <t>https://ebookcentral.proquest.com/lib/nclive-ebooks/detail.action?docID=4957435</t>
  </si>
  <si>
    <t>CliffsNotes Greek Classics</t>
  </si>
  <si>
    <t>Snodgrass, Mary Ellen</t>
  </si>
  <si>
    <t>Juvenile Literature; Literature</t>
  </si>
  <si>
    <t>https://ebookcentral.proquest.com/lib/nclive-ebooks/detail.action?docID=4957745</t>
  </si>
  <si>
    <t>Working Spanish for Homeowners</t>
  </si>
  <si>
    <t>Stein, Gail;Waiser, Paulette</t>
  </si>
  <si>
    <t>https://ebookcentral.proquest.com/lib/nclive-ebooks/detail.action?docID=4957773</t>
  </si>
  <si>
    <t>Jazz For Dummies</t>
  </si>
  <si>
    <t>Sutro, Dirk</t>
  </si>
  <si>
    <t>https://ebookcentral.proquest.com/lib/nclive-ebooks/detail.action?docID=4957796</t>
  </si>
  <si>
    <t>Chinese For Dummies®</t>
  </si>
  <si>
    <t>Wendy Abraham</t>
  </si>
  <si>
    <t>https://ebookcentral.proquest.com/lib/nclive-ebooks/detail.action?docID=4957908</t>
  </si>
  <si>
    <t>Fast Facts: Prostate Cancer</t>
  </si>
  <si>
    <t>Health Press - Fast Facts</t>
  </si>
  <si>
    <t>Health Press Ltd</t>
  </si>
  <si>
    <t>Kirby, Roger S.; Patel, Manish I.</t>
  </si>
  <si>
    <t>https://ebookcentral.proquest.com/lib/nclive-ebooks/detail.action?docID=4961480</t>
  </si>
  <si>
    <t>Fast Facts: Bladder Disorders</t>
  </si>
  <si>
    <t>Slack, Alex; Jackson, Simon; Wein, Alan J.</t>
  </si>
  <si>
    <t>https://ebookcentral.proquest.com/lib/nclive-ebooks/detail.action?docID=4961489</t>
  </si>
  <si>
    <t>Fast Facts: Hyperlipidemia</t>
  </si>
  <si>
    <t>Sniderman, Allan; Durrington, Paul</t>
  </si>
  <si>
    <t>https://ebookcentral.proquest.com/lib/nclive-ebooks/detail.action?docID=4961490</t>
  </si>
  <si>
    <t>Introduction to Old Yiddish Literature</t>
  </si>
  <si>
    <t>Baumgarten, Jean;Frakes, Jerold C.</t>
  </si>
  <si>
    <t>Language/Linguistics; Literature</t>
  </si>
  <si>
    <t>PJ5125</t>
  </si>
  <si>
    <t>Tehinnot</t>
  </si>
  <si>
    <t>https://ebookcentral.proquest.com/lib/nclive-ebooks/detail.action?docID=4963215</t>
  </si>
  <si>
    <t>Landmarks of the American Revolution</t>
  </si>
  <si>
    <t>Oxford University Press, USA</t>
  </si>
  <si>
    <t>American Landmarks</t>
  </si>
  <si>
    <t>Gary B. Nash</t>
  </si>
  <si>
    <t>E159.N26 2003</t>
  </si>
  <si>
    <t>https://ebookcentral.proquest.com/lib/nclive-ebooks/detail.action?docID=4963679</t>
  </si>
  <si>
    <t>Landmarks of American Women's History</t>
  </si>
  <si>
    <t>Page Putnam Miller</t>
  </si>
  <si>
    <t>E159.M557 2003</t>
  </si>
  <si>
    <t>https://ebookcentral.proquest.com/lib/nclive-ebooks/detail.action?docID=4964299</t>
  </si>
  <si>
    <t>Landmarks of the Civil War</t>
  </si>
  <si>
    <t>Silber, Nina</t>
  </si>
  <si>
    <t>E159.S58 2003</t>
  </si>
  <si>
    <t>https://ebookcentral.proquest.com/lib/nclive-ebooks/detail.action?docID=4964528</t>
  </si>
  <si>
    <t>Psychology of Nursing Care, The</t>
  </si>
  <si>
    <t>Palgrave Macmillan</t>
  </si>
  <si>
    <t>Niven, Neil</t>
  </si>
  <si>
    <t>https://ebookcentral.proquest.com/lib/nclive-ebooks/detail.action?docID=4964923</t>
  </si>
  <si>
    <t>History of the United States</t>
  </si>
  <si>
    <t>Essential Histories</t>
  </si>
  <si>
    <t>Jenkins, Philip</t>
  </si>
  <si>
    <t>E178.1.J35 2002</t>
  </si>
  <si>
    <t>https://ebookcentral.proquest.com/lib/nclive-ebooks/detail.action?docID=4965006</t>
  </si>
  <si>
    <t>Mastering Arabic Script: A Guide to Handwriting</t>
  </si>
  <si>
    <t>Wightwick, Jane; Gaafar, Mahmoud;Gaafar, Mahmoud</t>
  </si>
  <si>
    <t>Arabic languages</t>
  </si>
  <si>
    <t>https://ebookcentral.proquest.com/lib/nclive-ebooks/detail.action?docID=4965064</t>
  </si>
  <si>
    <t>Little Javanese, A</t>
  </si>
  <si>
    <t>Salt Publishing</t>
  </si>
  <si>
    <t>Mangeot, André</t>
  </si>
  <si>
    <t>Literature; Fiction</t>
  </si>
  <si>
    <t>https://ebookcentral.proquest.com/lib/nclive-ebooks/detail.action?docID=4967785</t>
  </si>
  <si>
    <t>World Politics since 1945</t>
  </si>
  <si>
    <t>Calvocoressi, Peter</t>
  </si>
  <si>
    <t>https://ebookcentral.proquest.com/lib/nclive-ebooks/detail.action?docID=4977031</t>
  </si>
  <si>
    <t>Keeping the Circle: American Indian Identity in Eastern North Carolina, 1885–2004</t>
  </si>
  <si>
    <t>Indians of the Southeast</t>
  </si>
  <si>
    <t>Oakley, Christopher Arris;Oakley, Christopher</t>
  </si>
  <si>
    <t>E78.N74O35 2005</t>
  </si>
  <si>
    <t>https://ebookcentral.proquest.com/lib/nclive-ebooks/detail.action?docID=4978225</t>
  </si>
  <si>
    <t>Introduction to Spanish for Health Care Workers: Communication and Culture, An</t>
  </si>
  <si>
    <t>Chase, Robert O.; Chase, Clarisa B. Medina de;Chase, Clarisa B. Medina de;Medina de Chase, Clarisa B.;Chase, R. O.</t>
  </si>
  <si>
    <t>PC4120.M3C43 2008</t>
  </si>
  <si>
    <t>https://ebookcentral.proquest.com/lib/nclive-ebooks/detail.action?docID=4978837</t>
  </si>
  <si>
    <t>Geography of the Carolinas, A</t>
  </si>
  <si>
    <t>Parkway Publishers</t>
  </si>
  <si>
    <t>Parkway Publishers, Inc.</t>
  </si>
  <si>
    <t>Bennett, D. Gordon; Patton, Jeffrey C.;Patton, Jeffrey C.</t>
  </si>
  <si>
    <t>F254.8.G46 2007</t>
  </si>
  <si>
    <t>https://ebookcentral.proquest.com/lib/nclive-ebooks/detail.action?docID=5065461</t>
  </si>
  <si>
    <t>Post Cards of Historic Blowing Rock</t>
  </si>
  <si>
    <t>Blowing Rock Historical Society</t>
  </si>
  <si>
    <t>Economics; History</t>
  </si>
  <si>
    <t>F264.B59P67 2001</t>
  </si>
  <si>
    <t>https://ebookcentral.proquest.com/lib/nclive-ebooks/detail.action?docID=5067058</t>
  </si>
  <si>
    <t>Post Cards of Historic Blowing Rock, Volume II</t>
  </si>
  <si>
    <t>Blowing Rock Historical Society, Inc.</t>
  </si>
  <si>
    <t>https://ebookcentral.proquest.com/lib/nclive-ebooks/detail.action?docID=5067059</t>
  </si>
  <si>
    <t>Wheels and Deals in the Yadkin Valley: A Chronicle of Transportation in the Yadkin Valley of North Carolina</t>
  </si>
  <si>
    <t>Brown, Rodger F.;Matlack, Allison</t>
  </si>
  <si>
    <t>HE5633.N8.B76 2005</t>
  </si>
  <si>
    <t>https://ebookcentral.proquest.com/lib/nclive-ebooks/detail.action?docID=5067387</t>
  </si>
  <si>
    <t>My C.C.C. Days: Memories of the Civilian Conservation Corps</t>
  </si>
  <si>
    <t>Davis, Frank C.</t>
  </si>
  <si>
    <t>Economics; Environmental Studies; Agriculture</t>
  </si>
  <si>
    <t>S932.N8D38 2006</t>
  </si>
  <si>
    <t>https://ebookcentral.proquest.com/lib/nclive-ebooks/detail.action?docID=5069038</t>
  </si>
  <si>
    <t>In Search of Mayberry: A Guide to North Carolina's Favorite Small Towns</t>
  </si>
  <si>
    <t>Dickson, Scott</t>
  </si>
  <si>
    <t>F255.D53 2004</t>
  </si>
  <si>
    <t>https://ebookcentral.proquest.com/lib/nclive-ebooks/detail.action?docID=5069351</t>
  </si>
  <si>
    <t>Carolina Journeys: Exploring the Trails of the Carolinas Both Real and Imagined</t>
  </si>
  <si>
    <t>Fowler, Tom</t>
  </si>
  <si>
    <t>History; Economics</t>
  </si>
  <si>
    <t>F255.F69 2004</t>
  </si>
  <si>
    <t>https://ebookcentral.proquest.com/lib/nclive-ebooks/detail.action?docID=5070417</t>
  </si>
  <si>
    <t>Short History of Old Watauga Country, A</t>
  </si>
  <si>
    <t>Hardy, Michael C.</t>
  </si>
  <si>
    <t>F262.W34H37 2005</t>
  </si>
  <si>
    <t>https://ebookcentral.proquest.com/lib/nclive-ebooks/detail.action?docID=5071852</t>
  </si>
  <si>
    <t>They Went Into the Fight Cheering!: Confederate Conscription in North Carolina</t>
  </si>
  <si>
    <t>Hilderman, Walter C.</t>
  </si>
  <si>
    <t>E545.H55 2005</t>
  </si>
  <si>
    <t>https://ebookcentral.proquest.com/lib/nclive-ebooks/detail.action?docID=5072224</t>
  </si>
  <si>
    <t>Sketches of Western North Carolina: Historical and Biographical</t>
  </si>
  <si>
    <t>BiblioLife</t>
  </si>
  <si>
    <t>Hunter, C. L.</t>
  </si>
  <si>
    <t>https://ebookcentral.proquest.com/lib/nclive-ebooks/detail.action?docID=5072517</t>
  </si>
  <si>
    <t>Crime &amp; Criminality: Causes and Consequences</t>
  </si>
  <si>
    <t>Criminal Justice Press</t>
  </si>
  <si>
    <t>Hunter, Ronald D.; Dantzker, Mark L.;Dantzker, Mark L.</t>
  </si>
  <si>
    <t>https://ebookcentral.proquest.com/lib/nclive-ebooks/detail.action?docID=5072524</t>
  </si>
  <si>
    <t>Highland Handcrafters: Appalachian Craftspeople</t>
  </si>
  <si>
    <t>Joslin, Michael</t>
  </si>
  <si>
    <t>Fine Arts; Engineering; Engineering: Manufacturing</t>
  </si>
  <si>
    <t>TT23.2.J67 2005</t>
  </si>
  <si>
    <t>https://ebookcentral.proquest.com/lib/nclive-ebooks/detail.action?docID=5073265</t>
  </si>
  <si>
    <t>Mines, Miners and Minerals of Western North Carolina: Western North Carolina's Hidden Mineralogical Treasures</t>
  </si>
  <si>
    <t>Presnell, Lowell</t>
  </si>
  <si>
    <t>Business/Management; Economics; Engineering: Mining; Engineering</t>
  </si>
  <si>
    <t>TN24.N8P74 2005</t>
  </si>
  <si>
    <t>https://ebookcentral.proquest.com/lib/nclive-ebooks/detail.action?docID=5078178</t>
  </si>
  <si>
    <t>The Bridge Crew: Growing up in the Blue Ridge in the 1940s and 50s</t>
  </si>
  <si>
    <t>general; tertiary education</t>
  </si>
  <si>
    <t>Shumate, Sam</t>
  </si>
  <si>
    <t>F264.W46S47 2006</t>
  </si>
  <si>
    <t>https://ebookcentral.proquest.com/lib/nclive-ebooks/detail.action?docID=5079882</t>
  </si>
  <si>
    <t>Nature Guide to Northwest North Carolina, A</t>
  </si>
  <si>
    <t>Skeate, Stewart</t>
  </si>
  <si>
    <t>Science; Science: Biology/Natural History</t>
  </si>
  <si>
    <t>https://ebookcentral.proquest.com/lib/nclive-ebooks/detail.action?docID=5080027</t>
  </si>
  <si>
    <t>Mountain Echoes: Beech Mountain, North Carolina</t>
  </si>
  <si>
    <t>Stanberry, Doris Elaine Cook</t>
  </si>
  <si>
    <t>CT275.S658A3 2005</t>
  </si>
  <si>
    <t>https://ebookcentral.proquest.com/lib/nclive-ebooks/detail.action?docID=5080360</t>
  </si>
  <si>
    <t>Another Time, Another Place: Growing Up in Swannanoa, 1929-1950</t>
  </si>
  <si>
    <t>Swannanoa, North Carolina;Mills, Gene</t>
  </si>
  <si>
    <t>F264.S94M55 2002</t>
  </si>
  <si>
    <t>https://ebookcentral.proquest.com/lib/nclive-ebooks/detail.action?docID=5080787</t>
  </si>
  <si>
    <t>Grandfather Mountain: A Profile</t>
  </si>
  <si>
    <t>Tager, Miles</t>
  </si>
  <si>
    <t>F262.B6T34 1999</t>
  </si>
  <si>
    <t>https://ebookcentral.proquest.com/lib/nclive-ebooks/detail.action?docID=5080814</t>
  </si>
  <si>
    <t>English/ Spanish and Spanish/ English Legal Dictionary Third edition</t>
  </si>
  <si>
    <t>Wolters Kluwer Law &amp; Business</t>
  </si>
  <si>
    <t>Kaplan, Steven M.</t>
  </si>
  <si>
    <t>Law</t>
  </si>
  <si>
    <t>K52</t>
  </si>
  <si>
    <t>https://ebookcentral.proquest.com/lib/nclive-ebooks/detail.action?docID=5088893</t>
  </si>
  <si>
    <t>Blackwell Companion to Criminology, The</t>
  </si>
  <si>
    <t>Blackwell Publishing</t>
  </si>
  <si>
    <t>Wiley Blackwell Companions to Sociology</t>
  </si>
  <si>
    <t>Sumner, Colin;Sumner, Colin;Bernstein, Mary;Block, Alan</t>
  </si>
  <si>
    <t>HV6025.B544 2003</t>
  </si>
  <si>
    <t>https://ebookcentral.proquest.com/lib/nclive-ebooks/detail.action?docID=5120603</t>
  </si>
  <si>
    <t>The ADD and ADHD Cure : The Natural Way to Treat Hyperactivity and Refocus Your Child : The Natural Way to Treat Hyperactivity and Refocus Your Child</t>
  </si>
  <si>
    <t>John Wiley &amp; Sons</t>
  </si>
  <si>
    <t>Turner Publishing Company</t>
  </si>
  <si>
    <t>Gordon, Jay</t>
  </si>
  <si>
    <t>https://ebookcentral.proquest.com/lib/nclive-ebooks/detail.action?docID=5120769</t>
  </si>
  <si>
    <t>The Alzheimer's Answer : Reduce Your Risk and Keep Your Brain Healthy : Reduce Your Risk and Keep Your Brain Healthy</t>
  </si>
  <si>
    <t>Sabbagh, Marwan</t>
  </si>
  <si>
    <t>https://ebookcentral.proquest.com/lib/nclive-ebooks/detail.action?docID=5120952</t>
  </si>
  <si>
    <t>Not Your Mama's Stitching</t>
  </si>
  <si>
    <t>Shoup, Kate</t>
  </si>
  <si>
    <t>https://ebookcentral.proquest.com/lib/nclive-ebooks/detail.action?docID=5120973</t>
  </si>
  <si>
    <t>Russian</t>
  </si>
  <si>
    <t>Szczepanska, Kathryn</t>
  </si>
  <si>
    <t>https://ebookcentral.proquest.com/lib/nclive-ebooks/detail.action?docID=5120999</t>
  </si>
  <si>
    <t>Criminal Law</t>
  </si>
  <si>
    <t>Pearson Education UK</t>
  </si>
  <si>
    <t>Jefferson, Michael</t>
  </si>
  <si>
    <t>https://ebookcentral.proquest.com/lib/nclive-ebooks/detail.action?docID=5139473</t>
  </si>
  <si>
    <t>Project Manager's Book of Checklists</t>
  </si>
  <si>
    <t>Newton, Richard</t>
  </si>
  <si>
    <t>HD69.P75</t>
  </si>
  <si>
    <t>Project management</t>
  </si>
  <si>
    <t>https://ebookcentral.proquest.com/lib/nclive-ebooks/detail.action?docID=5139577</t>
  </si>
  <si>
    <t>Absolute Beginner's Guide to Project Management</t>
  </si>
  <si>
    <t>Pearson Education Inc</t>
  </si>
  <si>
    <t>Que Publishing</t>
  </si>
  <si>
    <t>Horine, Greg</t>
  </si>
  <si>
    <t>https://ebookcentral.proquest.com/lib/nclive-ebooks/detail.action?docID=5139863</t>
  </si>
  <si>
    <t>Crime Scene Investigators</t>
  </si>
  <si>
    <t>Rosen Publishing Group</t>
  </si>
  <si>
    <t>Rosen Central</t>
  </si>
  <si>
    <t>Graphic Forensic Science Ser.</t>
  </si>
  <si>
    <t>Shone, Rob;Saraceni, Claudia</t>
  </si>
  <si>
    <t>HV8073 .S436 2008</t>
  </si>
  <si>
    <t>Crime scenes-United States-Case studies. ; Criminal investigation-United States-Case studies. ; Crime scene searches-United States-Case studies.</t>
  </si>
  <si>
    <t>https://ebookcentral.proquest.com/lib/nclive-ebooks/detail.action?docID=5140101</t>
  </si>
  <si>
    <t>A Companion to the American South</t>
  </si>
  <si>
    <t>Boles, John B.</t>
  </si>
  <si>
    <t>https://ebookcentral.proquest.com/lib/nclive-ebooks/detail.action?docID=5247873</t>
  </si>
  <si>
    <t>CliffsNotes SAT Cram Plan</t>
  </si>
  <si>
    <t>Ma, William;Burstein, Jane R.</t>
  </si>
  <si>
    <t>https://ebookcentral.proquest.com/lib/nclive-ebooks/detail.action?docID=5247876</t>
  </si>
  <si>
    <t>Great Events from History: The 20th Century: 1901-1940</t>
  </si>
  <si>
    <t>Gorman, Robert F.;Gorman, Robert F.</t>
  </si>
  <si>
    <t>https://ebookcentral.proquest.com/lib/nclive-ebooks/detail.action?docID=5248003</t>
  </si>
  <si>
    <t>Milestone Documents in American History: Exploring the Primary Sources That Shaped America</t>
  </si>
  <si>
    <t>Finkelman, Paul</t>
  </si>
  <si>
    <t>https://ebookcentral.proquest.com/lib/nclive-ebooks/detail.action?docID=5248005</t>
  </si>
  <si>
    <t>Eighties in America, The</t>
  </si>
  <si>
    <t>https://ebookcentral.proquest.com/lib/nclive-ebooks/detail.action?docID=5248006</t>
  </si>
  <si>
    <t>Forensic Science</t>
  </si>
  <si>
    <t>Embar-Seddon, Ayn;Embar-Seddon, Ayn</t>
  </si>
  <si>
    <t>https://ebookcentral.proquest.com/lib/nclive-ebooks/detail.action?docID=5248007</t>
  </si>
  <si>
    <t>Great Lives From History: The 20th Century</t>
  </si>
  <si>
    <t>https://ebookcentral.proquest.com/lib/nclive-ebooks/detail.action?docID=5248008</t>
  </si>
  <si>
    <t>How To Pass the Police Recruitment Tests</t>
  </si>
  <si>
    <t>How To Books</t>
  </si>
  <si>
    <t>How to Books</t>
  </si>
  <si>
    <t>Ricketts, Kenneth</t>
  </si>
  <si>
    <t>https://ebookcentral.proquest.com/lib/nclive-ebooks/detail.action?docID=5250501</t>
  </si>
  <si>
    <t>Nursing &amp; Health Survival Guide: Clinical Skills</t>
  </si>
  <si>
    <t>Richards, Ann</t>
  </si>
  <si>
    <t>https://ebookcentral.proquest.com/lib/nclive-ebooks/detail.action?docID=5268242</t>
  </si>
  <si>
    <t>Introduction to Statistics for Nurses</t>
  </si>
  <si>
    <t>Maltby, John;Day, Liz;Williams, Glenn</t>
  </si>
  <si>
    <t>https://ebookcentral.proquest.com/lib/nclive-ebooks/detail.action?docID=5268527</t>
  </si>
  <si>
    <t>Nursing &amp; Health Survival Guide: Maths &amp; Medications</t>
  </si>
  <si>
    <t>Medicine; Pharmacy</t>
  </si>
  <si>
    <t>https://ebookcentral.proquest.com/lib/nclive-ebooks/detail.action?docID=5268551</t>
  </si>
  <si>
    <t>Essential Histories: The Mexican War 1846–1848</t>
  </si>
  <si>
    <t>Meed, Douglas V.</t>
  </si>
  <si>
    <t>https://ebookcentral.proquest.com/lib/nclive-ebooks/detail.action?docID=5298192</t>
  </si>
  <si>
    <t>Guilford Courthouse 1781: Lord Cornwallis's Ruinous Victory. Campaign, Volume 109.</t>
  </si>
  <si>
    <t>Osprey Publishing</t>
  </si>
  <si>
    <t>Konstam, Angus; Hook, Adam</t>
  </si>
  <si>
    <t>https://ebookcentral.proquest.com/lib/nclive-ebooks/detail.action?docID=5338044</t>
  </si>
  <si>
    <t>15-Minute Chinese: Learn Chinese in Just 15 Minutes A Day. DK Eyewitness Travel.</t>
  </si>
  <si>
    <t>Dorling Kindersley</t>
  </si>
  <si>
    <t>Kindersley, Dorling</t>
  </si>
  <si>
    <t>https://ebookcentral.proquest.com/lib/nclive-ebooks/detail.action?docID=5338272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</si>
</sst>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0"/>
  <sheetViews>
    <sheetView tabSelected="1" workbookViewId="0"/>
  </sheetViews>
  <sheetFormatPr baseColWidth="10" defaultRowHeight="16" x14ac:dyDescent="0.2"/>
  <sheetData>
    <row r="1" spans="1:4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</row>
    <row r="2" spans="1:40" x14ac:dyDescent="0.2">
      <c r="A2">
        <v>169193</v>
      </c>
      <c r="B2" t="s">
        <v>40</v>
      </c>
      <c r="C2" t="str">
        <f>"9780415142564"</f>
        <v>9780415142564</v>
      </c>
      <c r="D2" t="str">
        <f>"9780203065877"</f>
        <v>9780203065877</v>
      </c>
      <c r="E2" t="s">
        <v>41</v>
      </c>
      <c r="F2" t="s">
        <v>42</v>
      </c>
      <c r="G2" s="1">
        <v>36349</v>
      </c>
      <c r="H2" s="1">
        <v>41311</v>
      </c>
      <c r="I2" t="s">
        <v>43</v>
      </c>
      <c r="J2">
        <v>1</v>
      </c>
      <c r="L2" t="s">
        <v>44</v>
      </c>
      <c r="M2" t="s">
        <v>45</v>
      </c>
      <c r="N2" t="s">
        <v>46</v>
      </c>
      <c r="O2">
        <v>491.7</v>
      </c>
      <c r="P2" t="s">
        <v>47</v>
      </c>
      <c r="Q2" t="s">
        <v>48</v>
      </c>
      <c r="R2" t="s">
        <v>49</v>
      </c>
      <c r="S2" t="s">
        <v>50</v>
      </c>
      <c r="T2" t="s">
        <v>50</v>
      </c>
      <c r="U2" t="s">
        <v>49</v>
      </c>
      <c r="V2" t="s">
        <v>49</v>
      </c>
      <c r="W2" t="s">
        <v>50</v>
      </c>
      <c r="X2" t="s">
        <v>49</v>
      </c>
      <c r="Y2" t="s">
        <v>50</v>
      </c>
      <c r="AA2">
        <v>293.75</v>
      </c>
      <c r="AB2">
        <v>235</v>
      </c>
      <c r="AC2">
        <v>352.5</v>
      </c>
      <c r="AD2" t="s">
        <v>49</v>
      </c>
      <c r="AE2">
        <v>10417450</v>
      </c>
      <c r="AF2">
        <v>33037</v>
      </c>
      <c r="AH2" t="s">
        <v>50</v>
      </c>
      <c r="AI2" t="s">
        <v>50</v>
      </c>
      <c r="AJ2" t="s">
        <v>51</v>
      </c>
      <c r="AK2" t="s">
        <v>50</v>
      </c>
      <c r="AM2" t="s">
        <v>49</v>
      </c>
      <c r="AN2" t="s">
        <v>52</v>
      </c>
    </row>
    <row r="3" spans="1:40" x14ac:dyDescent="0.2">
      <c r="A3">
        <v>176034</v>
      </c>
      <c r="B3" t="s">
        <v>53</v>
      </c>
      <c r="C3" t="str">
        <f>"9780787968052"</f>
        <v>9780787968052</v>
      </c>
      <c r="D3" t="str">
        <f>"9780787973643"</f>
        <v>9780787973643</v>
      </c>
      <c r="E3" t="s">
        <v>54</v>
      </c>
      <c r="F3" t="s">
        <v>55</v>
      </c>
      <c r="G3" s="1">
        <v>38050</v>
      </c>
      <c r="H3" s="1">
        <v>38610</v>
      </c>
      <c r="I3" t="s">
        <v>43</v>
      </c>
      <c r="J3">
        <v>1</v>
      </c>
      <c r="K3" t="s">
        <v>56</v>
      </c>
      <c r="L3" t="s">
        <v>57</v>
      </c>
      <c r="M3" t="s">
        <v>58</v>
      </c>
      <c r="N3" t="s">
        <v>59</v>
      </c>
      <c r="O3" t="s">
        <v>60</v>
      </c>
      <c r="P3" t="s">
        <v>61</v>
      </c>
      <c r="Q3" t="s">
        <v>48</v>
      </c>
      <c r="R3" t="s">
        <v>49</v>
      </c>
      <c r="S3" t="s">
        <v>50</v>
      </c>
      <c r="T3" t="s">
        <v>50</v>
      </c>
      <c r="U3" t="s">
        <v>49</v>
      </c>
      <c r="V3" t="s">
        <v>49</v>
      </c>
      <c r="W3" t="s">
        <v>50</v>
      </c>
      <c r="X3" t="s">
        <v>49</v>
      </c>
      <c r="Y3" t="s">
        <v>50</v>
      </c>
      <c r="Z3">
        <v>40.5</v>
      </c>
      <c r="AA3">
        <v>40.5</v>
      </c>
      <c r="AB3">
        <v>27</v>
      </c>
      <c r="AC3">
        <v>47.25</v>
      </c>
      <c r="AD3" t="s">
        <v>49</v>
      </c>
      <c r="AE3">
        <v>10304812</v>
      </c>
      <c r="AF3">
        <v>41054</v>
      </c>
      <c r="AH3" t="s">
        <v>50</v>
      </c>
      <c r="AI3" t="s">
        <v>50</v>
      </c>
      <c r="AJ3" t="s">
        <v>51</v>
      </c>
      <c r="AK3" t="s">
        <v>50</v>
      </c>
      <c r="AM3" t="s">
        <v>49</v>
      </c>
      <c r="AN3" t="s">
        <v>62</v>
      </c>
    </row>
    <row r="4" spans="1:40" x14ac:dyDescent="0.2">
      <c r="A4">
        <v>178816</v>
      </c>
      <c r="B4" t="s">
        <v>63</v>
      </c>
      <c r="C4" t="str">
        <f>"9780415700092"</f>
        <v>9780415700092</v>
      </c>
      <c r="D4" t="str">
        <f>"9780203799932"</f>
        <v>9780203799932</v>
      </c>
      <c r="E4" t="s">
        <v>41</v>
      </c>
      <c r="F4" t="s">
        <v>42</v>
      </c>
      <c r="G4" s="1">
        <v>38987</v>
      </c>
      <c r="H4" s="1">
        <v>39042</v>
      </c>
      <c r="I4" t="s">
        <v>43</v>
      </c>
      <c r="J4">
        <v>1</v>
      </c>
      <c r="K4" t="s">
        <v>64</v>
      </c>
      <c r="L4" t="s">
        <v>65</v>
      </c>
      <c r="M4" t="s">
        <v>45</v>
      </c>
      <c r="N4" t="s">
        <v>66</v>
      </c>
      <c r="O4">
        <v>495.18242099999998</v>
      </c>
      <c r="P4" t="s">
        <v>67</v>
      </c>
      <c r="Q4" t="s">
        <v>48</v>
      </c>
      <c r="R4" t="s">
        <v>50</v>
      </c>
      <c r="S4" t="s">
        <v>50</v>
      </c>
      <c r="T4" t="s">
        <v>50</v>
      </c>
      <c r="U4" t="s">
        <v>49</v>
      </c>
      <c r="V4" t="s">
        <v>49</v>
      </c>
      <c r="W4" t="s">
        <v>50</v>
      </c>
      <c r="X4" t="s">
        <v>49</v>
      </c>
      <c r="Y4" t="s">
        <v>50</v>
      </c>
      <c r="Z4">
        <v>232.5</v>
      </c>
      <c r="AA4">
        <v>193.75</v>
      </c>
      <c r="AB4">
        <v>155</v>
      </c>
      <c r="AD4" t="s">
        <v>49</v>
      </c>
      <c r="AE4">
        <v>11163947</v>
      </c>
      <c r="AF4">
        <v>54940</v>
      </c>
      <c r="AH4" t="s">
        <v>50</v>
      </c>
      <c r="AI4" t="s">
        <v>50</v>
      </c>
      <c r="AJ4" t="s">
        <v>51</v>
      </c>
      <c r="AK4" t="s">
        <v>50</v>
      </c>
      <c r="AM4" t="s">
        <v>49</v>
      </c>
      <c r="AN4" t="s">
        <v>68</v>
      </c>
    </row>
    <row r="5" spans="1:40" x14ac:dyDescent="0.2">
      <c r="A5">
        <v>179512</v>
      </c>
      <c r="B5" t="s">
        <v>69</v>
      </c>
      <c r="C5" t="str">
        <f>"9780415110877"</f>
        <v>9780415110877</v>
      </c>
      <c r="D5" t="str">
        <f>"9780203134337"</f>
        <v>9780203134337</v>
      </c>
      <c r="E5" t="s">
        <v>41</v>
      </c>
      <c r="F5" t="s">
        <v>42</v>
      </c>
      <c r="G5" s="1">
        <v>35425</v>
      </c>
      <c r="H5" s="1">
        <v>41556</v>
      </c>
      <c r="I5" t="s">
        <v>43</v>
      </c>
      <c r="J5">
        <v>1</v>
      </c>
      <c r="K5" t="s">
        <v>70</v>
      </c>
      <c r="L5" t="s">
        <v>71</v>
      </c>
      <c r="M5" t="s">
        <v>45</v>
      </c>
      <c r="N5" t="s">
        <v>72</v>
      </c>
      <c r="O5">
        <v>491.4383421</v>
      </c>
      <c r="P5" t="s">
        <v>73</v>
      </c>
      <c r="Q5" t="s">
        <v>48</v>
      </c>
      <c r="R5" t="s">
        <v>50</v>
      </c>
      <c r="S5" t="s">
        <v>50</v>
      </c>
      <c r="T5" t="s">
        <v>50</v>
      </c>
      <c r="U5" t="s">
        <v>49</v>
      </c>
      <c r="V5" t="s">
        <v>49</v>
      </c>
      <c r="W5" t="s">
        <v>50</v>
      </c>
      <c r="X5" t="s">
        <v>49</v>
      </c>
      <c r="Y5" t="s">
        <v>50</v>
      </c>
      <c r="Z5">
        <v>134.91999999999999</v>
      </c>
      <c r="AA5">
        <v>112.44</v>
      </c>
      <c r="AB5">
        <v>89.95</v>
      </c>
      <c r="AD5" t="s">
        <v>49</v>
      </c>
      <c r="AE5">
        <v>10779071</v>
      </c>
      <c r="AF5">
        <v>37678</v>
      </c>
      <c r="AH5" t="s">
        <v>50</v>
      </c>
      <c r="AI5" t="s">
        <v>50</v>
      </c>
      <c r="AJ5" t="s">
        <v>51</v>
      </c>
      <c r="AK5" t="s">
        <v>50</v>
      </c>
      <c r="AM5" t="s">
        <v>49</v>
      </c>
      <c r="AN5" t="s">
        <v>74</v>
      </c>
    </row>
    <row r="6" spans="1:40" x14ac:dyDescent="0.2">
      <c r="A6">
        <v>181874</v>
      </c>
      <c r="B6" t="s">
        <v>75</v>
      </c>
      <c r="C6" t="str">
        <f>"9780415285889"</f>
        <v>9780415285889</v>
      </c>
      <c r="D6" t="str">
        <f>"9780203449530"</f>
        <v>9780203449530</v>
      </c>
      <c r="E6" t="s">
        <v>41</v>
      </c>
      <c r="F6" t="s">
        <v>42</v>
      </c>
      <c r="G6" s="1">
        <v>37653</v>
      </c>
      <c r="H6" s="1">
        <v>38169</v>
      </c>
      <c r="I6" t="s">
        <v>43</v>
      </c>
      <c r="J6">
        <v>6</v>
      </c>
      <c r="K6" t="s">
        <v>76</v>
      </c>
      <c r="L6" t="s">
        <v>77</v>
      </c>
      <c r="M6" t="s">
        <v>78</v>
      </c>
      <c r="N6" t="s">
        <v>79</v>
      </c>
      <c r="O6">
        <v>530.11</v>
      </c>
      <c r="P6" t="s">
        <v>80</v>
      </c>
      <c r="Q6" t="s">
        <v>48</v>
      </c>
      <c r="R6" t="s">
        <v>49</v>
      </c>
      <c r="S6" t="s">
        <v>50</v>
      </c>
      <c r="T6" t="s">
        <v>50</v>
      </c>
      <c r="U6" t="s">
        <v>49</v>
      </c>
      <c r="V6" t="s">
        <v>49</v>
      </c>
      <c r="W6" t="s">
        <v>50</v>
      </c>
      <c r="X6" t="s">
        <v>49</v>
      </c>
      <c r="Y6" t="s">
        <v>50</v>
      </c>
      <c r="AA6">
        <v>233.75</v>
      </c>
      <c r="AB6">
        <v>187</v>
      </c>
      <c r="AC6">
        <v>280.5</v>
      </c>
      <c r="AD6" t="s">
        <v>49</v>
      </c>
      <c r="AE6">
        <v>10100414</v>
      </c>
      <c r="AF6">
        <v>3126</v>
      </c>
      <c r="AH6" t="s">
        <v>50</v>
      </c>
      <c r="AI6" t="s">
        <v>50</v>
      </c>
      <c r="AJ6" t="s">
        <v>51</v>
      </c>
      <c r="AK6" t="s">
        <v>50</v>
      </c>
      <c r="AM6" t="s">
        <v>49</v>
      </c>
      <c r="AN6" t="s">
        <v>81</v>
      </c>
    </row>
    <row r="7" spans="1:40" x14ac:dyDescent="0.2">
      <c r="A7">
        <v>182540</v>
      </c>
      <c r="B7" t="s">
        <v>82</v>
      </c>
      <c r="C7" t="str">
        <f>"9780415308168"</f>
        <v>9780415308168</v>
      </c>
      <c r="D7" t="str">
        <f>"9780203426562"</f>
        <v>9780203426562</v>
      </c>
      <c r="E7" t="s">
        <v>41</v>
      </c>
      <c r="F7" t="s">
        <v>42</v>
      </c>
      <c r="G7" s="1">
        <v>37908</v>
      </c>
      <c r="H7" s="1">
        <v>38866</v>
      </c>
      <c r="I7" t="s">
        <v>43</v>
      </c>
      <c r="J7">
        <v>2</v>
      </c>
      <c r="K7" t="s">
        <v>83</v>
      </c>
      <c r="L7" t="s">
        <v>84</v>
      </c>
      <c r="M7" t="s">
        <v>45</v>
      </c>
      <c r="N7" t="s">
        <v>85</v>
      </c>
      <c r="O7" t="s">
        <v>86</v>
      </c>
      <c r="P7" t="s">
        <v>87</v>
      </c>
      <c r="Q7" t="s">
        <v>48</v>
      </c>
      <c r="R7" t="s">
        <v>50</v>
      </c>
      <c r="S7" t="s">
        <v>50</v>
      </c>
      <c r="T7" t="s">
        <v>50</v>
      </c>
      <c r="U7" t="s">
        <v>49</v>
      </c>
      <c r="V7" t="s">
        <v>49</v>
      </c>
      <c r="W7" t="s">
        <v>50</v>
      </c>
      <c r="X7" t="s">
        <v>49</v>
      </c>
      <c r="Y7" t="s">
        <v>50</v>
      </c>
      <c r="Z7">
        <v>195</v>
      </c>
      <c r="AA7">
        <v>162.5</v>
      </c>
      <c r="AB7">
        <v>130</v>
      </c>
      <c r="AD7" t="s">
        <v>49</v>
      </c>
      <c r="AE7">
        <v>10165092</v>
      </c>
      <c r="AF7">
        <v>34721</v>
      </c>
      <c r="AH7" t="s">
        <v>50</v>
      </c>
      <c r="AI7" t="s">
        <v>50</v>
      </c>
      <c r="AJ7" t="s">
        <v>51</v>
      </c>
      <c r="AK7" t="s">
        <v>50</v>
      </c>
      <c r="AM7" t="s">
        <v>49</v>
      </c>
      <c r="AN7" t="s">
        <v>88</v>
      </c>
    </row>
    <row r="8" spans="1:40" x14ac:dyDescent="0.2">
      <c r="A8">
        <v>182790</v>
      </c>
      <c r="B8" t="s">
        <v>89</v>
      </c>
      <c r="C8" t="str">
        <f>"9780415937238"</f>
        <v>9780415937238</v>
      </c>
      <c r="D8" t="str">
        <f>"9780203500552"</f>
        <v>9780203500552</v>
      </c>
      <c r="E8" t="s">
        <v>41</v>
      </c>
      <c r="F8" t="s">
        <v>42</v>
      </c>
      <c r="G8" s="1">
        <v>37925</v>
      </c>
      <c r="H8" s="1">
        <v>38169</v>
      </c>
      <c r="I8" t="s">
        <v>43</v>
      </c>
      <c r="J8">
        <v>1</v>
      </c>
      <c r="L8" t="s">
        <v>90</v>
      </c>
      <c r="M8" t="s">
        <v>91</v>
      </c>
      <c r="N8" t="s">
        <v>92</v>
      </c>
      <c r="O8" t="s">
        <v>93</v>
      </c>
      <c r="P8" t="s">
        <v>94</v>
      </c>
      <c r="Q8" t="s">
        <v>48</v>
      </c>
      <c r="R8" t="s">
        <v>49</v>
      </c>
      <c r="S8" t="s">
        <v>50</v>
      </c>
      <c r="T8" t="s">
        <v>50</v>
      </c>
      <c r="U8" t="s">
        <v>49</v>
      </c>
      <c r="V8" t="s">
        <v>49</v>
      </c>
      <c r="W8" t="s">
        <v>50</v>
      </c>
      <c r="X8" t="s">
        <v>49</v>
      </c>
      <c r="Y8" t="s">
        <v>50</v>
      </c>
      <c r="AA8">
        <v>325</v>
      </c>
      <c r="AB8">
        <v>260</v>
      </c>
      <c r="AC8">
        <v>390</v>
      </c>
      <c r="AD8" t="s">
        <v>49</v>
      </c>
      <c r="AE8">
        <v>10101282</v>
      </c>
      <c r="AF8">
        <v>107644</v>
      </c>
      <c r="AH8" t="s">
        <v>49</v>
      </c>
      <c r="AI8" t="s">
        <v>50</v>
      </c>
      <c r="AJ8" t="s">
        <v>51</v>
      </c>
      <c r="AK8" t="s">
        <v>50</v>
      </c>
      <c r="AM8" t="s">
        <v>49</v>
      </c>
      <c r="AN8" t="s">
        <v>95</v>
      </c>
    </row>
    <row r="9" spans="1:40" x14ac:dyDescent="0.2">
      <c r="A9">
        <v>182970</v>
      </c>
      <c r="B9" t="s">
        <v>96</v>
      </c>
      <c r="C9" t="str">
        <f>"9780415968379"</f>
        <v>9780415968379</v>
      </c>
      <c r="D9" t="str">
        <f>"9780203492871"</f>
        <v>9780203492871</v>
      </c>
      <c r="E9" t="s">
        <v>41</v>
      </c>
      <c r="F9" t="s">
        <v>42</v>
      </c>
      <c r="G9" s="1">
        <v>37826</v>
      </c>
      <c r="H9" s="1">
        <v>38663</v>
      </c>
      <c r="I9" t="s">
        <v>43</v>
      </c>
      <c r="J9">
        <v>1</v>
      </c>
      <c r="L9" t="s">
        <v>97</v>
      </c>
      <c r="M9" t="s">
        <v>91</v>
      </c>
      <c r="N9" t="s">
        <v>98</v>
      </c>
      <c r="O9">
        <v>973.3</v>
      </c>
      <c r="P9" t="s">
        <v>99</v>
      </c>
      <c r="Q9" t="s">
        <v>48</v>
      </c>
      <c r="R9" t="s">
        <v>50</v>
      </c>
      <c r="S9" t="s">
        <v>50</v>
      </c>
      <c r="T9" t="s">
        <v>50</v>
      </c>
      <c r="U9" t="s">
        <v>49</v>
      </c>
      <c r="V9" t="s">
        <v>49</v>
      </c>
      <c r="W9" t="s">
        <v>50</v>
      </c>
      <c r="X9" t="s">
        <v>49</v>
      </c>
      <c r="Y9" t="s">
        <v>50</v>
      </c>
      <c r="Z9">
        <v>127.5</v>
      </c>
      <c r="AA9">
        <v>106.25</v>
      </c>
      <c r="AB9">
        <v>85</v>
      </c>
      <c r="AD9" t="s">
        <v>49</v>
      </c>
      <c r="AE9">
        <v>10166557</v>
      </c>
      <c r="AF9">
        <v>10173</v>
      </c>
      <c r="AH9" t="s">
        <v>50</v>
      </c>
      <c r="AI9" t="s">
        <v>50</v>
      </c>
      <c r="AJ9" t="s">
        <v>51</v>
      </c>
      <c r="AK9" t="s">
        <v>50</v>
      </c>
      <c r="AM9" t="s">
        <v>49</v>
      </c>
      <c r="AN9" t="s">
        <v>100</v>
      </c>
    </row>
    <row r="10" spans="1:40" x14ac:dyDescent="0.2">
      <c r="A10">
        <v>182972</v>
      </c>
      <c r="B10" t="s">
        <v>101</v>
      </c>
      <c r="C10" t="str">
        <f>"9780415968393"</f>
        <v>9780415968393</v>
      </c>
      <c r="D10" t="str">
        <f>"9780203499535"</f>
        <v>9780203499535</v>
      </c>
      <c r="E10" t="s">
        <v>41</v>
      </c>
      <c r="F10" t="s">
        <v>42</v>
      </c>
      <c r="G10" s="1">
        <v>37826</v>
      </c>
      <c r="H10" s="1">
        <v>38643</v>
      </c>
      <c r="I10" t="s">
        <v>43</v>
      </c>
      <c r="J10">
        <v>1</v>
      </c>
      <c r="L10" t="s">
        <v>102</v>
      </c>
      <c r="M10" t="s">
        <v>91</v>
      </c>
      <c r="N10" t="s">
        <v>103</v>
      </c>
      <c r="O10">
        <v>973.52</v>
      </c>
      <c r="P10" t="s">
        <v>104</v>
      </c>
      <c r="Q10" t="s">
        <v>48</v>
      </c>
      <c r="R10" t="s">
        <v>50</v>
      </c>
      <c r="S10" t="s">
        <v>50</v>
      </c>
      <c r="T10" t="s">
        <v>50</v>
      </c>
      <c r="U10" t="s">
        <v>49</v>
      </c>
      <c r="V10" t="s">
        <v>49</v>
      </c>
      <c r="W10" t="s">
        <v>50</v>
      </c>
      <c r="X10" t="s">
        <v>49</v>
      </c>
      <c r="Y10" t="s">
        <v>50</v>
      </c>
      <c r="Z10">
        <v>120</v>
      </c>
      <c r="AA10">
        <v>100</v>
      </c>
      <c r="AB10">
        <v>80</v>
      </c>
      <c r="AD10" t="s">
        <v>49</v>
      </c>
      <c r="AE10">
        <v>10166003</v>
      </c>
      <c r="AF10">
        <v>9509</v>
      </c>
      <c r="AH10" t="s">
        <v>50</v>
      </c>
      <c r="AI10" t="s">
        <v>50</v>
      </c>
      <c r="AJ10" t="s">
        <v>51</v>
      </c>
      <c r="AK10" t="s">
        <v>50</v>
      </c>
      <c r="AM10" t="s">
        <v>49</v>
      </c>
      <c r="AN10" t="s">
        <v>105</v>
      </c>
    </row>
    <row r="11" spans="1:40" x14ac:dyDescent="0.2">
      <c r="A11">
        <v>199605</v>
      </c>
      <c r="B11" t="s">
        <v>106</v>
      </c>
      <c r="C11" t="str">
        <f>"9780415700818"</f>
        <v>9780415700818</v>
      </c>
      <c r="D11" t="str">
        <f>"9780203329412"</f>
        <v>9780203329412</v>
      </c>
      <c r="E11" t="s">
        <v>41</v>
      </c>
      <c r="F11" t="s">
        <v>42</v>
      </c>
      <c r="G11" s="1">
        <v>38201</v>
      </c>
      <c r="H11" s="1">
        <v>38776</v>
      </c>
      <c r="I11" t="s">
        <v>43</v>
      </c>
      <c r="J11">
        <v>3</v>
      </c>
      <c r="K11" t="s">
        <v>83</v>
      </c>
      <c r="L11" t="s">
        <v>107</v>
      </c>
      <c r="M11" t="s">
        <v>45</v>
      </c>
      <c r="N11" t="s">
        <v>108</v>
      </c>
      <c r="O11" t="s">
        <v>109</v>
      </c>
      <c r="P11" t="s">
        <v>110</v>
      </c>
      <c r="Q11" t="s">
        <v>48</v>
      </c>
      <c r="R11" t="s">
        <v>50</v>
      </c>
      <c r="S11" t="s">
        <v>50</v>
      </c>
      <c r="T11" t="s">
        <v>50</v>
      </c>
      <c r="U11" t="s">
        <v>49</v>
      </c>
      <c r="V11" t="s">
        <v>49</v>
      </c>
      <c r="W11" t="s">
        <v>50</v>
      </c>
      <c r="X11" t="s">
        <v>49</v>
      </c>
      <c r="Y11" t="s">
        <v>50</v>
      </c>
      <c r="Z11">
        <v>0</v>
      </c>
      <c r="AA11">
        <v>0</v>
      </c>
      <c r="AB11">
        <v>0</v>
      </c>
      <c r="AD11" t="s">
        <v>49</v>
      </c>
      <c r="AE11">
        <v>10441109</v>
      </c>
      <c r="AF11">
        <v>28995</v>
      </c>
      <c r="AH11" t="s">
        <v>50</v>
      </c>
      <c r="AI11" t="s">
        <v>50</v>
      </c>
      <c r="AJ11" t="s">
        <v>51</v>
      </c>
      <c r="AK11" t="s">
        <v>50</v>
      </c>
      <c r="AM11" t="s">
        <v>49</v>
      </c>
      <c r="AN11" t="s">
        <v>111</v>
      </c>
    </row>
    <row r="12" spans="1:40" x14ac:dyDescent="0.2">
      <c r="A12">
        <v>199654</v>
      </c>
      <c r="B12" t="s">
        <v>112</v>
      </c>
      <c r="C12" t="str">
        <f>"9780415949583"</f>
        <v>9780415949583</v>
      </c>
      <c r="D12" t="str">
        <f>"9780203329801"</f>
        <v>9780203329801</v>
      </c>
      <c r="E12" t="s">
        <v>41</v>
      </c>
      <c r="F12" t="s">
        <v>42</v>
      </c>
      <c r="G12" s="1">
        <v>38341</v>
      </c>
      <c r="H12" s="1">
        <v>38636</v>
      </c>
      <c r="I12" t="s">
        <v>43</v>
      </c>
      <c r="J12">
        <v>1</v>
      </c>
      <c r="K12" t="s">
        <v>113</v>
      </c>
      <c r="L12" t="s">
        <v>114</v>
      </c>
      <c r="M12" t="s">
        <v>115</v>
      </c>
      <c r="N12" t="s">
        <v>116</v>
      </c>
      <c r="O12">
        <v>305.896073</v>
      </c>
      <c r="P12" t="s">
        <v>117</v>
      </c>
      <c r="Q12" t="s">
        <v>48</v>
      </c>
      <c r="R12" t="s">
        <v>49</v>
      </c>
      <c r="S12" t="s">
        <v>50</v>
      </c>
      <c r="T12" t="s">
        <v>50</v>
      </c>
      <c r="U12" t="s">
        <v>49</v>
      </c>
      <c r="V12" t="s">
        <v>49</v>
      </c>
      <c r="W12" t="s">
        <v>50</v>
      </c>
      <c r="X12" t="s">
        <v>49</v>
      </c>
      <c r="Y12" t="s">
        <v>50</v>
      </c>
      <c r="AA12">
        <v>225</v>
      </c>
      <c r="AB12">
        <v>180</v>
      </c>
      <c r="AC12">
        <v>270</v>
      </c>
      <c r="AD12" t="s">
        <v>49</v>
      </c>
      <c r="AE12">
        <v>10163110</v>
      </c>
      <c r="AF12">
        <v>17761</v>
      </c>
      <c r="AH12" t="s">
        <v>49</v>
      </c>
      <c r="AI12" t="s">
        <v>50</v>
      </c>
      <c r="AJ12" t="s">
        <v>51</v>
      </c>
      <c r="AK12" t="s">
        <v>50</v>
      </c>
      <c r="AM12" t="s">
        <v>49</v>
      </c>
      <c r="AN12" t="s">
        <v>118</v>
      </c>
    </row>
    <row r="13" spans="1:40" x14ac:dyDescent="0.2">
      <c r="A13">
        <v>200012</v>
      </c>
      <c r="B13" t="s">
        <v>119</v>
      </c>
      <c r="C13" t="str">
        <f>"9780415232098"</f>
        <v>9780415232098</v>
      </c>
      <c r="D13" t="str">
        <f>"9780203645215"</f>
        <v>9780203645215</v>
      </c>
      <c r="E13" t="s">
        <v>41</v>
      </c>
      <c r="F13" t="s">
        <v>42</v>
      </c>
      <c r="G13" s="1">
        <v>42116</v>
      </c>
      <c r="H13" s="1">
        <v>38775</v>
      </c>
      <c r="I13" t="s">
        <v>43</v>
      </c>
      <c r="J13">
        <v>1</v>
      </c>
      <c r="K13" t="s">
        <v>83</v>
      </c>
      <c r="L13" t="s">
        <v>120</v>
      </c>
      <c r="M13" t="s">
        <v>45</v>
      </c>
      <c r="N13" t="s">
        <v>121</v>
      </c>
      <c r="O13">
        <v>489.38242100000002</v>
      </c>
      <c r="P13" t="s">
        <v>122</v>
      </c>
      <c r="Q13" t="s">
        <v>48</v>
      </c>
      <c r="R13" t="s">
        <v>50</v>
      </c>
      <c r="S13" t="s">
        <v>50</v>
      </c>
      <c r="T13" t="s">
        <v>50</v>
      </c>
      <c r="U13" t="s">
        <v>49</v>
      </c>
      <c r="V13" t="s">
        <v>49</v>
      </c>
      <c r="W13" t="s">
        <v>50</v>
      </c>
      <c r="X13" t="s">
        <v>49</v>
      </c>
      <c r="Y13" t="s">
        <v>50</v>
      </c>
      <c r="Z13">
        <v>210</v>
      </c>
      <c r="AA13">
        <v>175</v>
      </c>
      <c r="AB13">
        <v>140</v>
      </c>
      <c r="AD13" t="s">
        <v>49</v>
      </c>
      <c r="AE13">
        <v>10166608</v>
      </c>
      <c r="AF13">
        <v>30936</v>
      </c>
      <c r="AH13" t="s">
        <v>50</v>
      </c>
      <c r="AI13" t="s">
        <v>50</v>
      </c>
      <c r="AJ13" t="s">
        <v>51</v>
      </c>
      <c r="AK13" t="s">
        <v>50</v>
      </c>
      <c r="AM13" t="s">
        <v>49</v>
      </c>
      <c r="AN13" t="s">
        <v>123</v>
      </c>
    </row>
    <row r="14" spans="1:40" x14ac:dyDescent="0.2">
      <c r="A14">
        <v>201827</v>
      </c>
      <c r="B14" t="s">
        <v>124</v>
      </c>
      <c r="C14" t="str">
        <f>"9780521591508"</f>
        <v>9780521591508</v>
      </c>
      <c r="D14" t="str">
        <f>"9780511202247"</f>
        <v>9780511202247</v>
      </c>
      <c r="E14" t="s">
        <v>125</v>
      </c>
      <c r="F14" t="s">
        <v>125</v>
      </c>
      <c r="G14" s="1">
        <v>37266</v>
      </c>
      <c r="H14" s="1">
        <v>38169</v>
      </c>
      <c r="I14" t="s">
        <v>43</v>
      </c>
      <c r="K14" t="s">
        <v>126</v>
      </c>
      <c r="L14" t="s">
        <v>127</v>
      </c>
      <c r="M14" t="s">
        <v>128</v>
      </c>
      <c r="N14" t="s">
        <v>129</v>
      </c>
      <c r="O14">
        <v>170</v>
      </c>
      <c r="P14" t="s">
        <v>130</v>
      </c>
      <c r="Q14" t="s">
        <v>48</v>
      </c>
      <c r="R14" t="s">
        <v>49</v>
      </c>
      <c r="S14" t="s">
        <v>50</v>
      </c>
      <c r="T14" t="s">
        <v>50</v>
      </c>
      <c r="U14" t="s">
        <v>49</v>
      </c>
      <c r="V14" t="s">
        <v>49</v>
      </c>
      <c r="W14" t="s">
        <v>50</v>
      </c>
      <c r="X14" t="s">
        <v>50</v>
      </c>
      <c r="Y14" t="s">
        <v>50</v>
      </c>
      <c r="Z14">
        <v>500</v>
      </c>
      <c r="AA14">
        <v>1000</v>
      </c>
      <c r="AB14">
        <v>500</v>
      </c>
      <c r="AD14" t="s">
        <v>49</v>
      </c>
      <c r="AE14">
        <v>11303346</v>
      </c>
      <c r="AF14">
        <v>42924</v>
      </c>
      <c r="AH14" t="s">
        <v>50</v>
      </c>
      <c r="AI14" t="s">
        <v>50</v>
      </c>
      <c r="AJ14" t="s">
        <v>51</v>
      </c>
      <c r="AK14" t="s">
        <v>50</v>
      </c>
      <c r="AM14" t="s">
        <v>49</v>
      </c>
      <c r="AN14" t="s">
        <v>131</v>
      </c>
    </row>
    <row r="15" spans="1:40" x14ac:dyDescent="0.2">
      <c r="A15">
        <v>217995</v>
      </c>
      <c r="B15" t="s">
        <v>132</v>
      </c>
      <c r="C15" t="str">
        <f>"9780521816205"</f>
        <v>9780521816205</v>
      </c>
      <c r="D15" t="str">
        <f>"9781139148337"</f>
        <v>9781139148337</v>
      </c>
      <c r="E15" t="s">
        <v>125</v>
      </c>
      <c r="F15" t="s">
        <v>125</v>
      </c>
      <c r="G15" s="1">
        <v>37693</v>
      </c>
      <c r="H15" s="1">
        <v>38369</v>
      </c>
      <c r="I15" t="s">
        <v>43</v>
      </c>
      <c r="L15" t="s">
        <v>133</v>
      </c>
      <c r="M15" t="s">
        <v>134</v>
      </c>
      <c r="N15" t="s">
        <v>135</v>
      </c>
      <c r="O15">
        <v>419</v>
      </c>
      <c r="P15" t="s">
        <v>136</v>
      </c>
      <c r="Q15" t="s">
        <v>48</v>
      </c>
      <c r="R15" t="s">
        <v>49</v>
      </c>
      <c r="S15" t="s">
        <v>50</v>
      </c>
      <c r="T15" t="s">
        <v>50</v>
      </c>
      <c r="U15" t="s">
        <v>49</v>
      </c>
      <c r="V15" t="s">
        <v>49</v>
      </c>
      <c r="W15" t="s">
        <v>50</v>
      </c>
      <c r="X15" t="s">
        <v>50</v>
      </c>
      <c r="Y15" t="s">
        <v>50</v>
      </c>
      <c r="Z15">
        <v>215</v>
      </c>
      <c r="AA15">
        <v>430</v>
      </c>
      <c r="AB15">
        <v>215</v>
      </c>
      <c r="AD15" t="s">
        <v>49</v>
      </c>
      <c r="AE15">
        <v>10073584</v>
      </c>
      <c r="AF15">
        <v>42001</v>
      </c>
      <c r="AH15" t="s">
        <v>49</v>
      </c>
      <c r="AI15" t="s">
        <v>50</v>
      </c>
      <c r="AJ15" t="s">
        <v>51</v>
      </c>
      <c r="AK15" t="s">
        <v>50</v>
      </c>
      <c r="AM15" t="s">
        <v>49</v>
      </c>
      <c r="AN15" t="s">
        <v>137</v>
      </c>
    </row>
    <row r="16" spans="1:40" x14ac:dyDescent="0.2">
      <c r="A16">
        <v>228510</v>
      </c>
      <c r="B16" t="s">
        <v>138</v>
      </c>
      <c r="C16" t="str">
        <f>"9780787976378"</f>
        <v>9780787976378</v>
      </c>
      <c r="D16" t="str">
        <f>"9780787979324"</f>
        <v>9780787979324</v>
      </c>
      <c r="E16" t="s">
        <v>54</v>
      </c>
      <c r="F16" t="s">
        <v>55</v>
      </c>
      <c r="G16" s="1">
        <v>38421</v>
      </c>
      <c r="H16" s="1">
        <v>38489</v>
      </c>
      <c r="I16" t="s">
        <v>43</v>
      </c>
      <c r="J16">
        <v>1</v>
      </c>
      <c r="K16" t="s">
        <v>56</v>
      </c>
      <c r="L16" t="s">
        <v>57</v>
      </c>
      <c r="M16" t="s">
        <v>58</v>
      </c>
      <c r="N16" t="s">
        <v>139</v>
      </c>
      <c r="O16">
        <v>658.40219999999999</v>
      </c>
      <c r="P16" t="s">
        <v>140</v>
      </c>
      <c r="Q16" t="s">
        <v>48</v>
      </c>
      <c r="R16" t="s">
        <v>49</v>
      </c>
      <c r="S16" t="s">
        <v>50</v>
      </c>
      <c r="T16" t="s">
        <v>50</v>
      </c>
      <c r="U16" t="s">
        <v>49</v>
      </c>
      <c r="V16" t="s">
        <v>49</v>
      </c>
      <c r="W16" t="s">
        <v>50</v>
      </c>
      <c r="X16" t="s">
        <v>49</v>
      </c>
      <c r="Y16" t="s">
        <v>50</v>
      </c>
      <c r="Z16">
        <v>41.92</v>
      </c>
      <c r="AA16">
        <v>41.92</v>
      </c>
      <c r="AB16">
        <v>27.95</v>
      </c>
      <c r="AC16">
        <v>48.91</v>
      </c>
      <c r="AD16" t="s">
        <v>49</v>
      </c>
      <c r="AE16">
        <v>10304709</v>
      </c>
      <c r="AF16">
        <v>27903</v>
      </c>
      <c r="AH16" t="s">
        <v>50</v>
      </c>
      <c r="AI16" t="s">
        <v>50</v>
      </c>
      <c r="AJ16" t="s">
        <v>51</v>
      </c>
      <c r="AK16" t="s">
        <v>50</v>
      </c>
      <c r="AM16" t="s">
        <v>49</v>
      </c>
      <c r="AN16" t="s">
        <v>141</v>
      </c>
    </row>
    <row r="17" spans="1:40" x14ac:dyDescent="0.2">
      <c r="A17">
        <v>237554</v>
      </c>
      <c r="B17" t="s">
        <v>142</v>
      </c>
      <c r="C17" t="str">
        <f>"9780521771511"</f>
        <v>9780521771511</v>
      </c>
      <c r="D17" t="str">
        <f>"9780511198809"</f>
        <v>9780511198809</v>
      </c>
      <c r="E17" t="s">
        <v>125</v>
      </c>
      <c r="F17" t="s">
        <v>125</v>
      </c>
      <c r="G17" s="1">
        <v>38589</v>
      </c>
      <c r="H17" s="1">
        <v>38600</v>
      </c>
      <c r="I17" t="s">
        <v>43</v>
      </c>
      <c r="K17" t="s">
        <v>143</v>
      </c>
      <c r="L17" t="s">
        <v>144</v>
      </c>
      <c r="M17" t="s">
        <v>45</v>
      </c>
      <c r="N17" t="s">
        <v>145</v>
      </c>
      <c r="O17">
        <v>492.782421</v>
      </c>
      <c r="P17" t="s">
        <v>146</v>
      </c>
      <c r="Q17" t="s">
        <v>48</v>
      </c>
      <c r="R17" t="s">
        <v>49</v>
      </c>
      <c r="S17" t="s">
        <v>50</v>
      </c>
      <c r="T17" t="s">
        <v>50</v>
      </c>
      <c r="U17" t="s">
        <v>49</v>
      </c>
      <c r="V17" t="s">
        <v>49</v>
      </c>
      <c r="W17" t="s">
        <v>50</v>
      </c>
      <c r="X17" t="s">
        <v>50</v>
      </c>
      <c r="Y17" t="s">
        <v>50</v>
      </c>
      <c r="Z17">
        <v>215</v>
      </c>
      <c r="AA17">
        <v>430</v>
      </c>
      <c r="AB17">
        <v>215</v>
      </c>
      <c r="AD17" t="s">
        <v>49</v>
      </c>
      <c r="AE17">
        <v>10289141</v>
      </c>
      <c r="AF17">
        <v>20299</v>
      </c>
      <c r="AH17" t="s">
        <v>49</v>
      </c>
      <c r="AI17" t="s">
        <v>50</v>
      </c>
      <c r="AJ17" t="s">
        <v>51</v>
      </c>
      <c r="AK17" t="s">
        <v>50</v>
      </c>
      <c r="AM17" t="s">
        <v>49</v>
      </c>
      <c r="AN17" t="s">
        <v>147</v>
      </c>
    </row>
    <row r="18" spans="1:40" x14ac:dyDescent="0.2">
      <c r="A18">
        <v>239424</v>
      </c>
      <c r="B18" t="s">
        <v>148</v>
      </c>
      <c r="C18" t="str">
        <f>"9780764584770"</f>
        <v>9780764584770</v>
      </c>
      <c r="D18" t="str">
        <f>"9780471776635"</f>
        <v>9780471776635</v>
      </c>
      <c r="E18" t="s">
        <v>54</v>
      </c>
      <c r="F18" t="s">
        <v>149</v>
      </c>
      <c r="G18" s="1">
        <v>38611</v>
      </c>
      <c r="H18" s="1">
        <v>38635</v>
      </c>
      <c r="I18" t="s">
        <v>43</v>
      </c>
      <c r="J18">
        <v>1</v>
      </c>
      <c r="K18" t="s">
        <v>149</v>
      </c>
      <c r="L18" t="s">
        <v>150</v>
      </c>
      <c r="M18" t="s">
        <v>45</v>
      </c>
      <c r="N18" t="s">
        <v>151</v>
      </c>
      <c r="O18">
        <v>495.18342100000001</v>
      </c>
      <c r="P18" t="s">
        <v>152</v>
      </c>
      <c r="Q18" t="s">
        <v>48</v>
      </c>
      <c r="R18" t="s">
        <v>49</v>
      </c>
      <c r="S18" t="s">
        <v>50</v>
      </c>
      <c r="T18" t="s">
        <v>50</v>
      </c>
      <c r="U18" t="s">
        <v>49</v>
      </c>
      <c r="V18" t="s">
        <v>49</v>
      </c>
      <c r="W18" t="s">
        <v>50</v>
      </c>
      <c r="X18" t="s">
        <v>49</v>
      </c>
      <c r="Y18" t="s">
        <v>50</v>
      </c>
      <c r="Z18">
        <v>14.98</v>
      </c>
      <c r="AA18">
        <v>14.98</v>
      </c>
      <c r="AB18">
        <v>9.99</v>
      </c>
      <c r="AC18">
        <v>17.48</v>
      </c>
      <c r="AD18" t="s">
        <v>49</v>
      </c>
      <c r="AE18">
        <v>10299742</v>
      </c>
      <c r="AF18">
        <v>27975</v>
      </c>
      <c r="AH18" t="s">
        <v>50</v>
      </c>
      <c r="AI18" t="s">
        <v>50</v>
      </c>
      <c r="AJ18" t="s">
        <v>51</v>
      </c>
      <c r="AK18" t="s">
        <v>50</v>
      </c>
      <c r="AM18" t="s">
        <v>49</v>
      </c>
      <c r="AN18" t="s">
        <v>153</v>
      </c>
    </row>
    <row r="19" spans="1:40" x14ac:dyDescent="0.2">
      <c r="A19">
        <v>241334</v>
      </c>
      <c r="B19" t="s">
        <v>154</v>
      </c>
      <c r="C19" t="str">
        <f>"9780195060072"</f>
        <v>9780195060072</v>
      </c>
      <c r="D19" t="str">
        <f>"9780198022626"</f>
        <v>9780198022626</v>
      </c>
      <c r="E19" t="s">
        <v>155</v>
      </c>
      <c r="F19" t="s">
        <v>156</v>
      </c>
      <c r="G19" s="1">
        <v>32821</v>
      </c>
      <c r="H19" s="1">
        <v>39006</v>
      </c>
      <c r="I19" t="s">
        <v>43</v>
      </c>
      <c r="L19" t="s">
        <v>157</v>
      </c>
      <c r="M19" t="s">
        <v>115</v>
      </c>
      <c r="N19" t="s">
        <v>158</v>
      </c>
      <c r="O19" t="s">
        <v>159</v>
      </c>
      <c r="P19" t="s">
        <v>160</v>
      </c>
      <c r="Q19" t="s">
        <v>48</v>
      </c>
      <c r="R19" t="s">
        <v>50</v>
      </c>
      <c r="S19" t="s">
        <v>50</v>
      </c>
      <c r="T19" t="s">
        <v>50</v>
      </c>
      <c r="U19" t="s">
        <v>49</v>
      </c>
      <c r="V19" t="s">
        <v>49</v>
      </c>
      <c r="W19" t="s">
        <v>50</v>
      </c>
      <c r="X19" t="s">
        <v>49</v>
      </c>
      <c r="Y19" t="s">
        <v>50</v>
      </c>
      <c r="Z19">
        <v>45.38</v>
      </c>
      <c r="AA19">
        <v>37.119999999999997</v>
      </c>
      <c r="AB19">
        <v>27.5</v>
      </c>
      <c r="AC19">
        <v>45.38</v>
      </c>
      <c r="AD19" t="s">
        <v>49</v>
      </c>
      <c r="AE19">
        <v>10086892</v>
      </c>
      <c r="AF19">
        <v>44303</v>
      </c>
      <c r="AH19" t="s">
        <v>50</v>
      </c>
      <c r="AI19" t="s">
        <v>50</v>
      </c>
      <c r="AJ19" t="s">
        <v>51</v>
      </c>
      <c r="AK19" t="s">
        <v>50</v>
      </c>
      <c r="AM19" t="s">
        <v>49</v>
      </c>
      <c r="AN19" t="s">
        <v>161</v>
      </c>
    </row>
    <row r="20" spans="1:40" x14ac:dyDescent="0.2">
      <c r="A20">
        <v>241977</v>
      </c>
      <c r="B20" t="s">
        <v>162</v>
      </c>
      <c r="C20" t="str">
        <f>"9780728601710"</f>
        <v>9780728601710</v>
      </c>
      <c r="D20" t="str">
        <f>"9780203985687"</f>
        <v>9780203985687</v>
      </c>
      <c r="E20" t="s">
        <v>41</v>
      </c>
      <c r="F20" t="s">
        <v>42</v>
      </c>
      <c r="G20" s="1">
        <v>33603</v>
      </c>
      <c r="H20" s="1">
        <v>41739</v>
      </c>
      <c r="I20" t="s">
        <v>43</v>
      </c>
      <c r="L20" t="s">
        <v>163</v>
      </c>
      <c r="M20" t="s">
        <v>45</v>
      </c>
      <c r="N20" t="s">
        <v>164</v>
      </c>
      <c r="O20">
        <v>491.1</v>
      </c>
      <c r="P20" t="s">
        <v>165</v>
      </c>
      <c r="Q20" t="s">
        <v>48</v>
      </c>
      <c r="R20" t="s">
        <v>49</v>
      </c>
      <c r="S20" t="s">
        <v>50</v>
      </c>
      <c r="T20" t="s">
        <v>50</v>
      </c>
      <c r="U20" t="s">
        <v>49</v>
      </c>
      <c r="V20" t="s">
        <v>49</v>
      </c>
      <c r="W20" t="s">
        <v>50</v>
      </c>
      <c r="X20" t="s">
        <v>49</v>
      </c>
      <c r="Y20" t="s">
        <v>50</v>
      </c>
      <c r="AA20">
        <v>293.75</v>
      </c>
      <c r="AB20">
        <v>235</v>
      </c>
      <c r="AC20">
        <v>352.5</v>
      </c>
      <c r="AD20" t="s">
        <v>49</v>
      </c>
      <c r="AE20">
        <v>10913551</v>
      </c>
      <c r="AF20">
        <v>17831</v>
      </c>
      <c r="AH20" t="s">
        <v>50</v>
      </c>
      <c r="AI20" t="s">
        <v>50</v>
      </c>
      <c r="AJ20" t="s">
        <v>51</v>
      </c>
      <c r="AK20" t="s">
        <v>50</v>
      </c>
      <c r="AM20" t="s">
        <v>49</v>
      </c>
      <c r="AN20" t="s">
        <v>166</v>
      </c>
    </row>
    <row r="21" spans="1:40" x14ac:dyDescent="0.2">
      <c r="A21">
        <v>252636</v>
      </c>
      <c r="B21" t="s">
        <v>167</v>
      </c>
      <c r="C21" t="str">
        <f>"9780764599453"</f>
        <v>9780764599453</v>
      </c>
      <c r="D21" t="str">
        <f>"9780470037812"</f>
        <v>9780470037812</v>
      </c>
      <c r="E21" t="s">
        <v>54</v>
      </c>
      <c r="F21" t="s">
        <v>168</v>
      </c>
      <c r="G21" s="1">
        <v>38765</v>
      </c>
      <c r="H21" s="1">
        <v>38803</v>
      </c>
      <c r="I21" t="s">
        <v>43</v>
      </c>
      <c r="J21">
        <v>1</v>
      </c>
      <c r="K21" t="s">
        <v>169</v>
      </c>
      <c r="L21" t="s">
        <v>170</v>
      </c>
      <c r="M21" t="s">
        <v>171</v>
      </c>
      <c r="N21" t="s">
        <v>172</v>
      </c>
      <c r="O21" t="s">
        <v>173</v>
      </c>
      <c r="P21" t="s">
        <v>174</v>
      </c>
      <c r="Q21" t="s">
        <v>48</v>
      </c>
      <c r="R21" t="s">
        <v>50</v>
      </c>
      <c r="S21" t="s">
        <v>50</v>
      </c>
      <c r="T21" t="s">
        <v>50</v>
      </c>
      <c r="U21" t="s">
        <v>49</v>
      </c>
      <c r="V21" t="s">
        <v>49</v>
      </c>
      <c r="W21" t="s">
        <v>50</v>
      </c>
      <c r="X21" t="s">
        <v>49</v>
      </c>
      <c r="Y21" t="s">
        <v>50</v>
      </c>
      <c r="Z21">
        <v>37.479999999999997</v>
      </c>
      <c r="AA21">
        <v>37.479999999999997</v>
      </c>
      <c r="AB21">
        <v>24.99</v>
      </c>
      <c r="AD21" t="s">
        <v>49</v>
      </c>
      <c r="AE21">
        <v>11193787</v>
      </c>
      <c r="AF21">
        <v>34964</v>
      </c>
      <c r="AH21" t="s">
        <v>50</v>
      </c>
      <c r="AI21" t="s">
        <v>50</v>
      </c>
      <c r="AJ21" t="s">
        <v>51</v>
      </c>
      <c r="AK21" t="s">
        <v>50</v>
      </c>
      <c r="AM21" t="s">
        <v>49</v>
      </c>
      <c r="AN21" t="s">
        <v>175</v>
      </c>
    </row>
    <row r="22" spans="1:40" x14ac:dyDescent="0.2">
      <c r="A22">
        <v>254193</v>
      </c>
      <c r="B22" t="s">
        <v>176</v>
      </c>
      <c r="C22" t="str">
        <f>"9780415194785"</f>
        <v>9780415194785</v>
      </c>
      <c r="D22" t="str">
        <f>"9780203986912"</f>
        <v>9780203986912</v>
      </c>
      <c r="E22" t="s">
        <v>41</v>
      </c>
      <c r="F22" t="s">
        <v>42</v>
      </c>
      <c r="G22" s="1">
        <v>41787</v>
      </c>
      <c r="H22" s="1">
        <v>38811</v>
      </c>
      <c r="I22" t="s">
        <v>43</v>
      </c>
      <c r="J22">
        <v>2</v>
      </c>
      <c r="K22" t="s">
        <v>70</v>
      </c>
      <c r="L22" t="s">
        <v>177</v>
      </c>
      <c r="M22" t="s">
        <v>45</v>
      </c>
      <c r="N22" t="s">
        <v>178</v>
      </c>
      <c r="O22">
        <v>495.68342100000001</v>
      </c>
      <c r="P22" t="s">
        <v>179</v>
      </c>
      <c r="Q22" t="s">
        <v>48</v>
      </c>
      <c r="R22" t="s">
        <v>50</v>
      </c>
      <c r="S22" t="s">
        <v>50</v>
      </c>
      <c r="T22" t="s">
        <v>50</v>
      </c>
      <c r="U22" t="s">
        <v>49</v>
      </c>
      <c r="V22" t="s">
        <v>49</v>
      </c>
      <c r="W22" t="s">
        <v>50</v>
      </c>
      <c r="X22" t="s">
        <v>49</v>
      </c>
      <c r="Y22" t="s">
        <v>50</v>
      </c>
      <c r="Z22">
        <v>152.91999999999999</v>
      </c>
      <c r="AA22">
        <v>127.44</v>
      </c>
      <c r="AB22">
        <v>101.95</v>
      </c>
      <c r="AD22" t="s">
        <v>49</v>
      </c>
      <c r="AE22">
        <v>10166591</v>
      </c>
      <c r="AF22">
        <v>19119</v>
      </c>
      <c r="AH22" t="s">
        <v>50</v>
      </c>
      <c r="AI22" t="s">
        <v>50</v>
      </c>
      <c r="AJ22" t="s">
        <v>51</v>
      </c>
      <c r="AK22" t="s">
        <v>50</v>
      </c>
      <c r="AM22" t="s">
        <v>49</v>
      </c>
      <c r="AN22" t="s">
        <v>180</v>
      </c>
    </row>
    <row r="23" spans="1:40" x14ac:dyDescent="0.2">
      <c r="A23">
        <v>254218</v>
      </c>
      <c r="B23" t="s">
        <v>181</v>
      </c>
      <c r="C23" t="str">
        <f>"9780415240482"</f>
        <v>9780415240482</v>
      </c>
      <c r="D23" t="str">
        <f>"9780203987261"</f>
        <v>9780203987261</v>
      </c>
      <c r="E23" t="s">
        <v>41</v>
      </c>
      <c r="F23" t="s">
        <v>42</v>
      </c>
      <c r="G23" s="1">
        <v>41773</v>
      </c>
      <c r="H23" s="1">
        <v>38811</v>
      </c>
      <c r="I23" t="s">
        <v>43</v>
      </c>
      <c r="J23">
        <v>2</v>
      </c>
      <c r="K23" t="s">
        <v>70</v>
      </c>
      <c r="L23" t="s">
        <v>182</v>
      </c>
      <c r="M23" t="s">
        <v>45</v>
      </c>
      <c r="N23" t="s">
        <v>183</v>
      </c>
      <c r="O23">
        <v>492.48242099999999</v>
      </c>
      <c r="P23" t="s">
        <v>184</v>
      </c>
      <c r="Q23" t="s">
        <v>48</v>
      </c>
      <c r="R23" t="s">
        <v>50</v>
      </c>
      <c r="S23" t="s">
        <v>50</v>
      </c>
      <c r="T23" t="s">
        <v>50</v>
      </c>
      <c r="U23" t="s">
        <v>49</v>
      </c>
      <c r="V23" t="s">
        <v>49</v>
      </c>
      <c r="W23" t="s">
        <v>50</v>
      </c>
      <c r="X23" t="s">
        <v>49</v>
      </c>
      <c r="Y23" t="s">
        <v>50</v>
      </c>
      <c r="Z23">
        <v>247.42</v>
      </c>
      <c r="AA23">
        <v>206.19</v>
      </c>
      <c r="AB23">
        <v>164.95</v>
      </c>
      <c r="AD23" t="s">
        <v>49</v>
      </c>
      <c r="AE23">
        <v>10166498</v>
      </c>
      <c r="AF23">
        <v>29061</v>
      </c>
      <c r="AH23" t="s">
        <v>50</v>
      </c>
      <c r="AI23" t="s">
        <v>50</v>
      </c>
      <c r="AJ23" t="s">
        <v>51</v>
      </c>
      <c r="AK23" t="s">
        <v>50</v>
      </c>
      <c r="AM23" t="s">
        <v>49</v>
      </c>
      <c r="AN23" t="s">
        <v>185</v>
      </c>
    </row>
    <row r="24" spans="1:40" x14ac:dyDescent="0.2">
      <c r="A24">
        <v>255157</v>
      </c>
      <c r="B24" t="s">
        <v>186</v>
      </c>
      <c r="C24" t="str">
        <f>"9780521772921"</f>
        <v>9780521772921</v>
      </c>
      <c r="D24" t="str">
        <f>"9780511163661"</f>
        <v>9780511163661</v>
      </c>
      <c r="E24" t="s">
        <v>125</v>
      </c>
      <c r="F24" t="s">
        <v>125</v>
      </c>
      <c r="G24" s="1">
        <v>38008</v>
      </c>
      <c r="H24" s="1">
        <v>38840</v>
      </c>
      <c r="I24" t="s">
        <v>43</v>
      </c>
      <c r="K24" t="s">
        <v>143</v>
      </c>
      <c r="L24" t="s">
        <v>187</v>
      </c>
      <c r="M24" t="s">
        <v>45</v>
      </c>
      <c r="N24" t="s">
        <v>188</v>
      </c>
      <c r="O24">
        <v>491.75</v>
      </c>
      <c r="P24" t="s">
        <v>189</v>
      </c>
      <c r="Q24" t="s">
        <v>48</v>
      </c>
      <c r="R24" t="s">
        <v>49</v>
      </c>
      <c r="S24" t="s">
        <v>50</v>
      </c>
      <c r="T24" t="s">
        <v>50</v>
      </c>
      <c r="U24" t="s">
        <v>49</v>
      </c>
      <c r="V24" t="s">
        <v>49</v>
      </c>
      <c r="W24" t="s">
        <v>50</v>
      </c>
      <c r="X24" t="s">
        <v>50</v>
      </c>
      <c r="Y24" t="s">
        <v>50</v>
      </c>
      <c r="Z24">
        <v>215</v>
      </c>
      <c r="AA24">
        <v>430</v>
      </c>
      <c r="AB24">
        <v>215</v>
      </c>
      <c r="AD24" t="s">
        <v>49</v>
      </c>
      <c r="AE24">
        <v>10120480</v>
      </c>
      <c r="AF24">
        <v>121799</v>
      </c>
      <c r="AH24" t="s">
        <v>49</v>
      </c>
      <c r="AI24" t="s">
        <v>50</v>
      </c>
      <c r="AJ24" t="s">
        <v>51</v>
      </c>
      <c r="AK24" t="s">
        <v>50</v>
      </c>
      <c r="AM24" t="s">
        <v>49</v>
      </c>
      <c r="AN24" t="s">
        <v>190</v>
      </c>
    </row>
    <row r="25" spans="1:40" x14ac:dyDescent="0.2">
      <c r="A25">
        <v>255295</v>
      </c>
      <c r="B25" t="s">
        <v>191</v>
      </c>
      <c r="C25" t="str">
        <f>"9780631209645"</f>
        <v>9780631209645</v>
      </c>
      <c r="D25" t="str">
        <f>"9781405154543"</f>
        <v>9781405154543</v>
      </c>
      <c r="E25" t="s">
        <v>54</v>
      </c>
      <c r="F25" t="s">
        <v>192</v>
      </c>
      <c r="G25" s="1">
        <v>38740</v>
      </c>
      <c r="H25" s="1">
        <v>40696</v>
      </c>
      <c r="I25" t="s">
        <v>43</v>
      </c>
      <c r="J25">
        <v>1</v>
      </c>
      <c r="K25" t="s">
        <v>193</v>
      </c>
      <c r="L25" t="s">
        <v>194</v>
      </c>
      <c r="M25" t="s">
        <v>91</v>
      </c>
      <c r="N25" t="s">
        <v>195</v>
      </c>
      <c r="O25" t="s">
        <v>196</v>
      </c>
      <c r="P25" t="s">
        <v>197</v>
      </c>
      <c r="Q25" t="s">
        <v>48</v>
      </c>
      <c r="R25" t="s">
        <v>50</v>
      </c>
      <c r="S25" t="s">
        <v>50</v>
      </c>
      <c r="T25" t="s">
        <v>50</v>
      </c>
      <c r="U25" t="s">
        <v>49</v>
      </c>
      <c r="V25" t="s">
        <v>49</v>
      </c>
      <c r="W25" t="s">
        <v>50</v>
      </c>
      <c r="X25" t="s">
        <v>49</v>
      </c>
      <c r="Y25" t="s">
        <v>50</v>
      </c>
      <c r="Z25">
        <v>0</v>
      </c>
      <c r="AA25">
        <v>0</v>
      </c>
      <c r="AB25">
        <v>0</v>
      </c>
      <c r="AC25">
        <v>0</v>
      </c>
      <c r="AD25" t="s">
        <v>49</v>
      </c>
      <c r="AE25">
        <v>10213585</v>
      </c>
      <c r="AF25">
        <v>121361</v>
      </c>
      <c r="AH25" t="s">
        <v>50</v>
      </c>
      <c r="AI25" t="s">
        <v>50</v>
      </c>
      <c r="AJ25" t="s">
        <v>51</v>
      </c>
      <c r="AK25" t="s">
        <v>50</v>
      </c>
      <c r="AM25" t="s">
        <v>49</v>
      </c>
      <c r="AN25" t="s">
        <v>198</v>
      </c>
    </row>
    <row r="26" spans="1:40" x14ac:dyDescent="0.2">
      <c r="A26">
        <v>256208</v>
      </c>
      <c r="B26" t="s">
        <v>199</v>
      </c>
      <c r="C26" t="str">
        <f>"9780471780014"</f>
        <v>9780471780014</v>
      </c>
      <c r="D26" t="str">
        <f>"9780470048559"</f>
        <v>9780470048559</v>
      </c>
      <c r="E26" t="s">
        <v>54</v>
      </c>
      <c r="F26" t="s">
        <v>149</v>
      </c>
      <c r="G26" s="1">
        <v>38831</v>
      </c>
      <c r="H26" s="1">
        <v>38835</v>
      </c>
      <c r="I26" t="s">
        <v>43</v>
      </c>
      <c r="J26">
        <v>1</v>
      </c>
      <c r="K26" t="s">
        <v>149</v>
      </c>
      <c r="L26" t="s">
        <v>200</v>
      </c>
      <c r="M26" t="s">
        <v>45</v>
      </c>
      <c r="N26" t="s">
        <v>201</v>
      </c>
      <c r="O26">
        <v>491.782421</v>
      </c>
      <c r="P26" t="s">
        <v>202</v>
      </c>
      <c r="Q26" t="s">
        <v>48</v>
      </c>
      <c r="R26" t="s">
        <v>49</v>
      </c>
      <c r="S26" t="s">
        <v>50</v>
      </c>
      <c r="T26" t="s">
        <v>50</v>
      </c>
      <c r="U26" t="s">
        <v>49</v>
      </c>
      <c r="V26" t="s">
        <v>49</v>
      </c>
      <c r="W26" t="s">
        <v>50</v>
      </c>
      <c r="X26" t="s">
        <v>49</v>
      </c>
      <c r="Y26" t="s">
        <v>50</v>
      </c>
      <c r="Z26">
        <v>37.479999999999997</v>
      </c>
      <c r="AA26">
        <v>37.479999999999997</v>
      </c>
      <c r="AB26">
        <v>24.99</v>
      </c>
      <c r="AC26">
        <v>43.73</v>
      </c>
      <c r="AD26" t="s">
        <v>49</v>
      </c>
      <c r="AE26">
        <v>10307971</v>
      </c>
      <c r="AF26">
        <v>41137</v>
      </c>
      <c r="AH26" t="s">
        <v>50</v>
      </c>
      <c r="AI26" t="s">
        <v>50</v>
      </c>
      <c r="AJ26" t="s">
        <v>51</v>
      </c>
      <c r="AK26" t="s">
        <v>50</v>
      </c>
      <c r="AM26" t="s">
        <v>49</v>
      </c>
      <c r="AN26" t="s">
        <v>203</v>
      </c>
    </row>
    <row r="27" spans="1:40" x14ac:dyDescent="0.2">
      <c r="A27">
        <v>256639</v>
      </c>
      <c r="B27" t="s">
        <v>204</v>
      </c>
      <c r="C27" t="str">
        <f>"9780521782685"</f>
        <v>9780521782685</v>
      </c>
      <c r="D27" t="str">
        <f>"9780511187780"</f>
        <v>9780511187780</v>
      </c>
      <c r="E27" t="s">
        <v>125</v>
      </c>
      <c r="F27" t="s">
        <v>125</v>
      </c>
      <c r="G27" s="1">
        <v>38068</v>
      </c>
      <c r="H27" s="1">
        <v>38887</v>
      </c>
      <c r="I27" t="s">
        <v>43</v>
      </c>
      <c r="L27" t="s">
        <v>205</v>
      </c>
      <c r="M27" t="s">
        <v>206</v>
      </c>
      <c r="N27" t="s">
        <v>207</v>
      </c>
      <c r="O27">
        <v>304.60973000000001</v>
      </c>
      <c r="P27" t="s">
        <v>208</v>
      </c>
      <c r="Q27" t="s">
        <v>48</v>
      </c>
      <c r="R27" t="s">
        <v>49</v>
      </c>
      <c r="S27" t="s">
        <v>50</v>
      </c>
      <c r="T27" t="s">
        <v>50</v>
      </c>
      <c r="U27" t="s">
        <v>49</v>
      </c>
      <c r="V27" t="s">
        <v>49</v>
      </c>
      <c r="W27" t="s">
        <v>50</v>
      </c>
      <c r="X27" t="s">
        <v>50</v>
      </c>
      <c r="Y27" t="s">
        <v>50</v>
      </c>
      <c r="Z27">
        <v>215</v>
      </c>
      <c r="AA27">
        <v>430</v>
      </c>
      <c r="AB27">
        <v>215</v>
      </c>
      <c r="AD27" t="s">
        <v>49</v>
      </c>
      <c r="AE27">
        <v>10124742</v>
      </c>
      <c r="AF27">
        <v>45823</v>
      </c>
      <c r="AH27" t="s">
        <v>49</v>
      </c>
      <c r="AI27" t="s">
        <v>50</v>
      </c>
      <c r="AJ27" t="s">
        <v>51</v>
      </c>
      <c r="AK27" t="s">
        <v>50</v>
      </c>
      <c r="AM27" t="s">
        <v>49</v>
      </c>
      <c r="AN27" t="s">
        <v>209</v>
      </c>
    </row>
    <row r="28" spans="1:40" x14ac:dyDescent="0.2">
      <c r="A28">
        <v>256897</v>
      </c>
      <c r="B28" t="s">
        <v>210</v>
      </c>
      <c r="C28" t="str">
        <f>"9780415328029"</f>
        <v>9780415328029</v>
      </c>
      <c r="D28" t="str">
        <f>"9780203390825"</f>
        <v>9780203390825</v>
      </c>
      <c r="E28" t="s">
        <v>41</v>
      </c>
      <c r="F28" t="s">
        <v>42</v>
      </c>
      <c r="G28" s="1">
        <v>38702</v>
      </c>
      <c r="H28" s="1">
        <v>38837</v>
      </c>
      <c r="I28" t="s">
        <v>43</v>
      </c>
      <c r="J28">
        <v>1</v>
      </c>
      <c r="L28" t="s">
        <v>211</v>
      </c>
      <c r="M28" t="s">
        <v>45</v>
      </c>
      <c r="N28" t="s">
        <v>212</v>
      </c>
      <c r="O28">
        <v>495.7</v>
      </c>
      <c r="P28" t="s">
        <v>213</v>
      </c>
      <c r="Q28" t="s">
        <v>48</v>
      </c>
      <c r="R28" t="s">
        <v>49</v>
      </c>
      <c r="S28" t="s">
        <v>50</v>
      </c>
      <c r="T28" t="s">
        <v>50</v>
      </c>
      <c r="U28" t="s">
        <v>49</v>
      </c>
      <c r="V28" t="s">
        <v>49</v>
      </c>
      <c r="W28" t="s">
        <v>50</v>
      </c>
      <c r="X28" t="s">
        <v>49</v>
      </c>
      <c r="Y28" t="s">
        <v>50</v>
      </c>
      <c r="AA28">
        <v>225</v>
      </c>
      <c r="AB28">
        <v>180</v>
      </c>
      <c r="AC28">
        <v>270</v>
      </c>
      <c r="AD28" t="s">
        <v>49</v>
      </c>
      <c r="AE28">
        <v>10163664</v>
      </c>
      <c r="AF28">
        <v>37689</v>
      </c>
      <c r="AH28" t="s">
        <v>49</v>
      </c>
      <c r="AI28" t="s">
        <v>50</v>
      </c>
      <c r="AJ28" t="s">
        <v>51</v>
      </c>
      <c r="AK28" t="s">
        <v>50</v>
      </c>
      <c r="AM28" t="s">
        <v>49</v>
      </c>
      <c r="AN28" t="s">
        <v>214</v>
      </c>
    </row>
    <row r="29" spans="1:40" x14ac:dyDescent="0.2">
      <c r="A29">
        <v>257373</v>
      </c>
      <c r="B29" t="s">
        <v>215</v>
      </c>
      <c r="C29" t="str">
        <f>"9781403933386"</f>
        <v>9781403933386</v>
      </c>
      <c r="D29" t="str">
        <f>"9780230502130"</f>
        <v>9780230502130</v>
      </c>
      <c r="E29" t="s">
        <v>216</v>
      </c>
      <c r="F29" t="s">
        <v>217</v>
      </c>
      <c r="G29" s="1">
        <v>38709</v>
      </c>
      <c r="H29" s="1">
        <v>38897</v>
      </c>
      <c r="I29" t="s">
        <v>43</v>
      </c>
      <c r="J29">
        <v>2</v>
      </c>
      <c r="K29" t="s">
        <v>218</v>
      </c>
      <c r="L29" t="s">
        <v>219</v>
      </c>
      <c r="M29" t="s">
        <v>220</v>
      </c>
      <c r="N29" t="s">
        <v>221</v>
      </c>
      <c r="O29" t="s">
        <v>222</v>
      </c>
      <c r="P29" t="s">
        <v>223</v>
      </c>
      <c r="Q29" t="s">
        <v>48</v>
      </c>
      <c r="R29" t="s">
        <v>49</v>
      </c>
      <c r="S29" t="s">
        <v>50</v>
      </c>
      <c r="T29" t="s">
        <v>50</v>
      </c>
      <c r="U29" t="s">
        <v>49</v>
      </c>
      <c r="V29" t="s">
        <v>49</v>
      </c>
      <c r="W29" t="s">
        <v>50</v>
      </c>
      <c r="X29" t="s">
        <v>50</v>
      </c>
      <c r="Y29" t="s">
        <v>50</v>
      </c>
      <c r="AB29">
        <v>161.75</v>
      </c>
      <c r="AD29" t="s">
        <v>49</v>
      </c>
      <c r="AF29">
        <v>42496</v>
      </c>
      <c r="AH29" t="s">
        <v>50</v>
      </c>
      <c r="AI29" t="s">
        <v>50</v>
      </c>
      <c r="AJ29" t="s">
        <v>51</v>
      </c>
      <c r="AK29" t="s">
        <v>50</v>
      </c>
      <c r="AM29" t="s">
        <v>49</v>
      </c>
      <c r="AN29" t="s">
        <v>224</v>
      </c>
    </row>
    <row r="30" spans="1:40" x14ac:dyDescent="0.2">
      <c r="A30">
        <v>258842</v>
      </c>
      <c r="B30" t="s">
        <v>225</v>
      </c>
      <c r="C30" t="str">
        <f>"9780471772705"</f>
        <v>9780471772705</v>
      </c>
      <c r="D30" t="str">
        <f>"9780470048566"</f>
        <v>9780470048566</v>
      </c>
      <c r="E30" t="s">
        <v>54</v>
      </c>
      <c r="F30" t="s">
        <v>149</v>
      </c>
      <c r="G30" s="1">
        <v>38838</v>
      </c>
      <c r="H30" s="1">
        <v>38866</v>
      </c>
      <c r="I30" t="s">
        <v>43</v>
      </c>
      <c r="J30">
        <v>1</v>
      </c>
      <c r="K30" t="s">
        <v>226</v>
      </c>
      <c r="L30" t="s">
        <v>227</v>
      </c>
      <c r="M30" t="s">
        <v>45</v>
      </c>
      <c r="N30" t="s">
        <v>228</v>
      </c>
      <c r="O30">
        <v>492</v>
      </c>
      <c r="P30" t="s">
        <v>229</v>
      </c>
      <c r="Q30" t="s">
        <v>48</v>
      </c>
      <c r="R30" t="s">
        <v>49</v>
      </c>
      <c r="S30" t="s">
        <v>50</v>
      </c>
      <c r="T30" t="s">
        <v>50</v>
      </c>
      <c r="U30" t="s">
        <v>49</v>
      </c>
      <c r="V30" t="s">
        <v>49</v>
      </c>
      <c r="W30" t="s">
        <v>50</v>
      </c>
      <c r="X30" t="s">
        <v>49</v>
      </c>
      <c r="Y30" t="s">
        <v>50</v>
      </c>
      <c r="Z30">
        <v>37.479999999999997</v>
      </c>
      <c r="AA30">
        <v>37.479999999999997</v>
      </c>
      <c r="AB30">
        <v>24.99</v>
      </c>
      <c r="AC30">
        <v>43.73</v>
      </c>
      <c r="AD30" t="s">
        <v>49</v>
      </c>
      <c r="AE30">
        <v>10307881</v>
      </c>
      <c r="AF30">
        <v>45007</v>
      </c>
      <c r="AH30" t="s">
        <v>50</v>
      </c>
      <c r="AI30" t="s">
        <v>50</v>
      </c>
      <c r="AJ30" t="s">
        <v>51</v>
      </c>
      <c r="AK30" t="s">
        <v>50</v>
      </c>
      <c r="AM30" t="s">
        <v>49</v>
      </c>
      <c r="AN30" t="s">
        <v>230</v>
      </c>
    </row>
    <row r="31" spans="1:40" x14ac:dyDescent="0.2">
      <c r="A31">
        <v>265394</v>
      </c>
      <c r="B31" t="s">
        <v>231</v>
      </c>
      <c r="C31" t="str">
        <f>"9781576070277"</f>
        <v>9781576070277</v>
      </c>
      <c r="D31" t="str">
        <f>"9781576075746"</f>
        <v>9781576075746</v>
      </c>
      <c r="E31" t="s">
        <v>232</v>
      </c>
      <c r="F31" t="s">
        <v>232</v>
      </c>
      <c r="G31" s="1">
        <v>38575</v>
      </c>
      <c r="H31" s="1">
        <v>39897</v>
      </c>
      <c r="I31" t="s">
        <v>43</v>
      </c>
      <c r="J31">
        <v>1</v>
      </c>
      <c r="L31" t="s">
        <v>233</v>
      </c>
      <c r="M31" t="s">
        <v>234</v>
      </c>
      <c r="N31" t="s">
        <v>235</v>
      </c>
      <c r="O31">
        <v>307.76096999999999</v>
      </c>
      <c r="P31" t="s">
        <v>236</v>
      </c>
      <c r="Q31" t="s">
        <v>48</v>
      </c>
      <c r="R31" t="s">
        <v>49</v>
      </c>
      <c r="S31" t="s">
        <v>50</v>
      </c>
      <c r="T31" t="s">
        <v>50</v>
      </c>
      <c r="U31" t="s">
        <v>49</v>
      </c>
      <c r="V31" t="s">
        <v>49</v>
      </c>
      <c r="W31" t="s">
        <v>50</v>
      </c>
      <c r="X31" t="s">
        <v>49</v>
      </c>
      <c r="Y31" t="s">
        <v>50</v>
      </c>
      <c r="Z31">
        <v>334.25</v>
      </c>
      <c r="AA31">
        <v>286.5</v>
      </c>
      <c r="AB31">
        <v>191</v>
      </c>
      <c r="AC31">
        <v>382</v>
      </c>
      <c r="AD31" t="s">
        <v>49</v>
      </c>
      <c r="AE31">
        <v>10183686</v>
      </c>
      <c r="AF31">
        <v>71115</v>
      </c>
      <c r="AH31" t="s">
        <v>50</v>
      </c>
      <c r="AI31" t="s">
        <v>50</v>
      </c>
      <c r="AJ31" t="s">
        <v>51</v>
      </c>
      <c r="AK31" t="s">
        <v>50</v>
      </c>
      <c r="AM31" t="s">
        <v>49</v>
      </c>
      <c r="AN31" t="s">
        <v>237</v>
      </c>
    </row>
    <row r="32" spans="1:40" x14ac:dyDescent="0.2">
      <c r="A32">
        <v>265542</v>
      </c>
      <c r="B32" t="s">
        <v>238</v>
      </c>
      <c r="C32" t="str">
        <f>"9781851097418"</f>
        <v>9781851097418</v>
      </c>
      <c r="D32" t="str">
        <f>"9781851097463"</f>
        <v>9781851097463</v>
      </c>
      <c r="E32" t="s">
        <v>232</v>
      </c>
      <c r="F32" t="s">
        <v>232</v>
      </c>
      <c r="G32" s="1">
        <v>38560</v>
      </c>
      <c r="H32" s="1">
        <v>38923</v>
      </c>
      <c r="I32" t="s">
        <v>43</v>
      </c>
      <c r="J32">
        <v>2</v>
      </c>
      <c r="L32" t="s">
        <v>239</v>
      </c>
      <c r="M32" t="s">
        <v>91</v>
      </c>
      <c r="N32" t="s">
        <v>240</v>
      </c>
      <c r="O32" t="s">
        <v>241</v>
      </c>
      <c r="P32" t="s">
        <v>242</v>
      </c>
      <c r="Q32" t="s">
        <v>48</v>
      </c>
      <c r="R32" t="s">
        <v>49</v>
      </c>
      <c r="S32" t="s">
        <v>50</v>
      </c>
      <c r="T32" t="s">
        <v>50</v>
      </c>
      <c r="U32" t="s">
        <v>49</v>
      </c>
      <c r="V32" t="s">
        <v>49</v>
      </c>
      <c r="W32" t="s">
        <v>50</v>
      </c>
      <c r="X32" t="s">
        <v>49</v>
      </c>
      <c r="Y32" t="s">
        <v>50</v>
      </c>
      <c r="Z32">
        <v>131.25</v>
      </c>
      <c r="AA32">
        <v>112.5</v>
      </c>
      <c r="AB32">
        <v>75</v>
      </c>
      <c r="AC32">
        <v>150</v>
      </c>
      <c r="AD32" t="s">
        <v>49</v>
      </c>
      <c r="AE32">
        <v>10183972</v>
      </c>
      <c r="AF32">
        <v>72076</v>
      </c>
      <c r="AH32" t="s">
        <v>50</v>
      </c>
      <c r="AI32" t="s">
        <v>50</v>
      </c>
      <c r="AJ32" t="s">
        <v>51</v>
      </c>
      <c r="AK32" t="s">
        <v>50</v>
      </c>
      <c r="AM32" t="s">
        <v>49</v>
      </c>
      <c r="AN32" t="s">
        <v>243</v>
      </c>
    </row>
    <row r="33" spans="1:40" x14ac:dyDescent="0.2">
      <c r="A33">
        <v>265877</v>
      </c>
      <c r="B33" t="s">
        <v>244</v>
      </c>
      <c r="C33" t="str">
        <f>"9780471794110"</f>
        <v>9780471794110</v>
      </c>
      <c r="D33" t="str">
        <f>"9780470087930"</f>
        <v>9780470087930</v>
      </c>
      <c r="E33" t="s">
        <v>54</v>
      </c>
      <c r="F33" t="s">
        <v>149</v>
      </c>
      <c r="G33" s="1">
        <v>39013</v>
      </c>
      <c r="H33" s="1">
        <v>38907</v>
      </c>
      <c r="I33" t="s">
        <v>43</v>
      </c>
      <c r="J33">
        <v>2</v>
      </c>
      <c r="K33" t="s">
        <v>226</v>
      </c>
      <c r="L33" t="s">
        <v>245</v>
      </c>
      <c r="M33" t="s">
        <v>246</v>
      </c>
      <c r="N33" t="s">
        <v>247</v>
      </c>
      <c r="O33">
        <v>914.96100000000001</v>
      </c>
      <c r="P33" t="s">
        <v>248</v>
      </c>
      <c r="Q33" t="s">
        <v>48</v>
      </c>
      <c r="R33" t="s">
        <v>50</v>
      </c>
      <c r="S33" t="s">
        <v>50</v>
      </c>
      <c r="T33" t="s">
        <v>50</v>
      </c>
      <c r="U33" t="s">
        <v>49</v>
      </c>
      <c r="V33" t="s">
        <v>49</v>
      </c>
      <c r="W33" t="s">
        <v>50</v>
      </c>
      <c r="X33" t="s">
        <v>49</v>
      </c>
      <c r="Y33" t="s">
        <v>50</v>
      </c>
      <c r="Z33">
        <v>37.479999999999997</v>
      </c>
      <c r="AA33">
        <v>37.479999999999997</v>
      </c>
      <c r="AB33">
        <v>24.99</v>
      </c>
      <c r="AC33">
        <v>43.73</v>
      </c>
      <c r="AD33" t="s">
        <v>49</v>
      </c>
      <c r="AE33">
        <v>10307545</v>
      </c>
      <c r="AF33">
        <v>50817</v>
      </c>
      <c r="AH33" t="s">
        <v>50</v>
      </c>
      <c r="AI33" t="s">
        <v>50</v>
      </c>
      <c r="AJ33" t="s">
        <v>51</v>
      </c>
      <c r="AK33" t="s">
        <v>50</v>
      </c>
      <c r="AM33" t="s">
        <v>49</v>
      </c>
      <c r="AN33" t="s">
        <v>249</v>
      </c>
    </row>
    <row r="34" spans="1:40" x14ac:dyDescent="0.2">
      <c r="A34">
        <v>266847</v>
      </c>
      <c r="B34" t="s">
        <v>250</v>
      </c>
      <c r="C34" t="str">
        <f>"9781851095650"</f>
        <v>9781851095650</v>
      </c>
      <c r="D34" t="str">
        <f>"9781851095704"</f>
        <v>9781851095704</v>
      </c>
      <c r="E34" t="s">
        <v>232</v>
      </c>
      <c r="F34" t="s">
        <v>232</v>
      </c>
      <c r="G34" s="1">
        <v>38684</v>
      </c>
      <c r="H34" s="1">
        <v>38923</v>
      </c>
      <c r="I34" t="s">
        <v>43</v>
      </c>
      <c r="L34" t="s">
        <v>251</v>
      </c>
      <c r="M34" t="s">
        <v>91</v>
      </c>
      <c r="N34" t="s">
        <v>252</v>
      </c>
      <c r="O34" t="s">
        <v>253</v>
      </c>
      <c r="P34" t="s">
        <v>254</v>
      </c>
      <c r="Q34" t="s">
        <v>48</v>
      </c>
      <c r="R34" t="s">
        <v>49</v>
      </c>
      <c r="S34" t="s">
        <v>50</v>
      </c>
      <c r="T34" t="s">
        <v>50</v>
      </c>
      <c r="U34" t="s">
        <v>49</v>
      </c>
      <c r="V34" t="s">
        <v>49</v>
      </c>
      <c r="W34" t="s">
        <v>50</v>
      </c>
      <c r="X34" t="s">
        <v>49</v>
      </c>
      <c r="Y34" t="s">
        <v>50</v>
      </c>
      <c r="Z34">
        <v>164.5</v>
      </c>
      <c r="AA34">
        <v>141</v>
      </c>
      <c r="AB34">
        <v>94</v>
      </c>
      <c r="AC34">
        <v>188</v>
      </c>
      <c r="AD34" t="s">
        <v>49</v>
      </c>
      <c r="AE34">
        <v>10183947</v>
      </c>
      <c r="AF34">
        <v>71278</v>
      </c>
      <c r="AH34" t="s">
        <v>50</v>
      </c>
      <c r="AI34" t="s">
        <v>50</v>
      </c>
      <c r="AJ34" t="s">
        <v>51</v>
      </c>
      <c r="AK34" t="s">
        <v>50</v>
      </c>
      <c r="AM34" t="s">
        <v>49</v>
      </c>
      <c r="AN34" t="s">
        <v>255</v>
      </c>
    </row>
    <row r="35" spans="1:40" x14ac:dyDescent="0.2">
      <c r="A35">
        <v>266848</v>
      </c>
      <c r="B35" t="s">
        <v>256</v>
      </c>
      <c r="C35" t="str">
        <f>"9781851095759"</f>
        <v>9781851095759</v>
      </c>
      <c r="D35" t="str">
        <f>"9781851095803"</f>
        <v>9781851095803</v>
      </c>
      <c r="E35" t="s">
        <v>232</v>
      </c>
      <c r="F35" t="s">
        <v>232</v>
      </c>
      <c r="G35" s="1">
        <v>38617</v>
      </c>
      <c r="H35" s="1">
        <v>38923</v>
      </c>
      <c r="I35" t="s">
        <v>43</v>
      </c>
      <c r="L35" t="s">
        <v>257</v>
      </c>
      <c r="M35" t="s">
        <v>91</v>
      </c>
      <c r="N35" t="s">
        <v>258</v>
      </c>
      <c r="O35">
        <v>940.54</v>
      </c>
      <c r="P35" t="s">
        <v>259</v>
      </c>
      <c r="Q35" t="s">
        <v>48</v>
      </c>
      <c r="R35" t="s">
        <v>49</v>
      </c>
      <c r="S35" t="s">
        <v>50</v>
      </c>
      <c r="T35" t="s">
        <v>50</v>
      </c>
      <c r="U35" t="s">
        <v>49</v>
      </c>
      <c r="V35" t="s">
        <v>49</v>
      </c>
      <c r="W35" t="s">
        <v>50</v>
      </c>
      <c r="X35" t="s">
        <v>49</v>
      </c>
      <c r="Y35" t="s">
        <v>50</v>
      </c>
      <c r="Z35">
        <v>152.25</v>
      </c>
      <c r="AA35">
        <v>130.5</v>
      </c>
      <c r="AB35">
        <v>87</v>
      </c>
      <c r="AC35">
        <v>174</v>
      </c>
      <c r="AD35" t="s">
        <v>49</v>
      </c>
      <c r="AE35">
        <v>10183840</v>
      </c>
      <c r="AF35">
        <v>71279</v>
      </c>
      <c r="AH35" t="s">
        <v>50</v>
      </c>
      <c r="AI35" t="s">
        <v>50</v>
      </c>
      <c r="AJ35" t="s">
        <v>51</v>
      </c>
      <c r="AK35" t="s">
        <v>50</v>
      </c>
      <c r="AM35" t="s">
        <v>49</v>
      </c>
      <c r="AN35" t="s">
        <v>260</v>
      </c>
    </row>
    <row r="36" spans="1:40" x14ac:dyDescent="0.2">
      <c r="A36">
        <v>267827</v>
      </c>
      <c r="B36" t="s">
        <v>261</v>
      </c>
      <c r="C36" t="str">
        <f>"9781851094202"</f>
        <v>9781851094202</v>
      </c>
      <c r="D36" t="str">
        <f>"9781851094257"</f>
        <v>9781851094257</v>
      </c>
      <c r="E36" t="s">
        <v>232</v>
      </c>
      <c r="F36" t="s">
        <v>232</v>
      </c>
      <c r="G36" s="1">
        <v>38607</v>
      </c>
      <c r="H36" s="1">
        <v>39897</v>
      </c>
      <c r="I36" t="s">
        <v>43</v>
      </c>
      <c r="J36">
        <v>1</v>
      </c>
      <c r="L36" t="s">
        <v>262</v>
      </c>
      <c r="M36" t="s">
        <v>91</v>
      </c>
      <c r="N36" t="s">
        <v>263</v>
      </c>
      <c r="O36" t="s">
        <v>264</v>
      </c>
      <c r="P36" t="s">
        <v>265</v>
      </c>
      <c r="Q36" t="s">
        <v>48</v>
      </c>
      <c r="R36" t="s">
        <v>49</v>
      </c>
      <c r="S36" t="s">
        <v>50</v>
      </c>
      <c r="T36" t="s">
        <v>50</v>
      </c>
      <c r="U36" t="s">
        <v>49</v>
      </c>
      <c r="V36" t="s">
        <v>49</v>
      </c>
      <c r="W36" t="s">
        <v>50</v>
      </c>
      <c r="X36" t="s">
        <v>49</v>
      </c>
      <c r="Y36" t="s">
        <v>50</v>
      </c>
      <c r="Z36">
        <v>934.5</v>
      </c>
      <c r="AA36">
        <v>801</v>
      </c>
      <c r="AB36">
        <v>534</v>
      </c>
      <c r="AC36">
        <v>1068</v>
      </c>
      <c r="AD36" t="s">
        <v>49</v>
      </c>
      <c r="AE36">
        <v>10183898</v>
      </c>
      <c r="AF36">
        <v>71402</v>
      </c>
      <c r="AH36" t="s">
        <v>50</v>
      </c>
      <c r="AI36" t="s">
        <v>50</v>
      </c>
      <c r="AJ36" t="s">
        <v>51</v>
      </c>
      <c r="AK36" t="s">
        <v>50</v>
      </c>
      <c r="AM36" t="s">
        <v>49</v>
      </c>
      <c r="AN36" t="s">
        <v>266</v>
      </c>
    </row>
    <row r="37" spans="1:40" x14ac:dyDescent="0.2">
      <c r="A37">
        <v>267828</v>
      </c>
      <c r="B37" t="s">
        <v>267</v>
      </c>
      <c r="C37" t="str">
        <f>"9781851098576"</f>
        <v>9781851098576</v>
      </c>
      <c r="D37" t="str">
        <f>"9781851098583"</f>
        <v>9781851098583</v>
      </c>
      <c r="E37" t="s">
        <v>232</v>
      </c>
      <c r="F37" t="s">
        <v>232</v>
      </c>
      <c r="G37" s="1">
        <v>38398</v>
      </c>
      <c r="H37" s="1">
        <v>38938</v>
      </c>
      <c r="I37" t="s">
        <v>43</v>
      </c>
      <c r="J37">
        <v>1</v>
      </c>
      <c r="L37" t="s">
        <v>268</v>
      </c>
      <c r="M37" t="s">
        <v>91</v>
      </c>
      <c r="N37" t="s">
        <v>269</v>
      </c>
      <c r="O37" t="s">
        <v>270</v>
      </c>
      <c r="P37" t="s">
        <v>271</v>
      </c>
      <c r="Q37" t="s">
        <v>48</v>
      </c>
      <c r="R37" t="s">
        <v>49</v>
      </c>
      <c r="S37" t="s">
        <v>50</v>
      </c>
      <c r="T37" t="s">
        <v>50</v>
      </c>
      <c r="U37" t="s">
        <v>49</v>
      </c>
      <c r="V37" t="s">
        <v>49</v>
      </c>
      <c r="W37" t="s">
        <v>50</v>
      </c>
      <c r="X37" t="s">
        <v>49</v>
      </c>
      <c r="Y37" t="s">
        <v>50</v>
      </c>
      <c r="Z37">
        <v>768.25</v>
      </c>
      <c r="AA37">
        <v>658.5</v>
      </c>
      <c r="AB37">
        <v>439</v>
      </c>
      <c r="AC37">
        <v>878</v>
      </c>
      <c r="AD37" t="s">
        <v>49</v>
      </c>
      <c r="AE37">
        <v>10183853</v>
      </c>
      <c r="AF37">
        <v>71405</v>
      </c>
      <c r="AH37" t="s">
        <v>50</v>
      </c>
      <c r="AI37" t="s">
        <v>50</v>
      </c>
      <c r="AJ37" t="s">
        <v>51</v>
      </c>
      <c r="AK37" t="s">
        <v>50</v>
      </c>
      <c r="AM37" t="s">
        <v>49</v>
      </c>
      <c r="AN37" t="s">
        <v>272</v>
      </c>
    </row>
    <row r="38" spans="1:40" x14ac:dyDescent="0.2">
      <c r="A38">
        <v>268625</v>
      </c>
      <c r="B38" t="s">
        <v>273</v>
      </c>
      <c r="C38" t="str">
        <f>"9780415391436"</f>
        <v>9780415391436</v>
      </c>
      <c r="D38" t="str">
        <f>"9780203969908"</f>
        <v>9780203969908</v>
      </c>
      <c r="E38" t="s">
        <v>41</v>
      </c>
      <c r="F38" t="s">
        <v>42</v>
      </c>
      <c r="G38" s="1">
        <v>38835</v>
      </c>
      <c r="H38" s="1">
        <v>38947</v>
      </c>
      <c r="I38" t="s">
        <v>43</v>
      </c>
      <c r="J38">
        <v>2</v>
      </c>
      <c r="L38" t="s">
        <v>274</v>
      </c>
      <c r="M38" t="s">
        <v>275</v>
      </c>
      <c r="N38" t="s">
        <v>276</v>
      </c>
      <c r="O38">
        <v>907.2</v>
      </c>
      <c r="P38" t="s">
        <v>277</v>
      </c>
      <c r="Q38" t="s">
        <v>48</v>
      </c>
      <c r="R38" t="s">
        <v>49</v>
      </c>
      <c r="S38" t="s">
        <v>50</v>
      </c>
      <c r="T38" t="s">
        <v>50</v>
      </c>
      <c r="U38" t="s">
        <v>49</v>
      </c>
      <c r="V38" t="s">
        <v>49</v>
      </c>
      <c r="W38" t="s">
        <v>50</v>
      </c>
      <c r="X38" t="s">
        <v>49</v>
      </c>
      <c r="Y38" t="s">
        <v>50</v>
      </c>
      <c r="AA38">
        <v>225</v>
      </c>
      <c r="AB38">
        <v>180</v>
      </c>
      <c r="AC38">
        <v>270</v>
      </c>
      <c r="AD38" t="s">
        <v>49</v>
      </c>
      <c r="AE38">
        <v>10163805</v>
      </c>
      <c r="AF38">
        <v>47836</v>
      </c>
      <c r="AH38" t="s">
        <v>50</v>
      </c>
      <c r="AI38" t="s">
        <v>50</v>
      </c>
      <c r="AJ38" t="s">
        <v>51</v>
      </c>
      <c r="AK38" t="s">
        <v>50</v>
      </c>
      <c r="AM38" t="s">
        <v>49</v>
      </c>
      <c r="AN38" t="s">
        <v>278</v>
      </c>
    </row>
    <row r="39" spans="1:40" x14ac:dyDescent="0.2">
      <c r="A39">
        <v>268692</v>
      </c>
      <c r="B39" t="s">
        <v>279</v>
      </c>
      <c r="C39" t="str">
        <f>"9780415314572"</f>
        <v>9780415314572</v>
      </c>
      <c r="D39" t="str">
        <f>"9780203969588"</f>
        <v>9780203969588</v>
      </c>
      <c r="E39" t="s">
        <v>41</v>
      </c>
      <c r="F39" t="s">
        <v>42</v>
      </c>
      <c r="G39" s="1">
        <v>38761</v>
      </c>
      <c r="H39" s="1">
        <v>38947</v>
      </c>
      <c r="I39" t="s">
        <v>43</v>
      </c>
      <c r="K39" t="s">
        <v>280</v>
      </c>
      <c r="L39" t="s">
        <v>281</v>
      </c>
      <c r="M39" t="s">
        <v>282</v>
      </c>
      <c r="N39" t="s">
        <v>283</v>
      </c>
      <c r="O39" t="s">
        <v>284</v>
      </c>
      <c r="P39" t="s">
        <v>285</v>
      </c>
      <c r="Q39" t="s">
        <v>48</v>
      </c>
      <c r="R39" t="s">
        <v>49</v>
      </c>
      <c r="S39" t="s">
        <v>50</v>
      </c>
      <c r="T39" t="s">
        <v>50</v>
      </c>
      <c r="U39" t="s">
        <v>49</v>
      </c>
      <c r="V39" t="s">
        <v>49</v>
      </c>
      <c r="W39" t="s">
        <v>50</v>
      </c>
      <c r="X39" t="s">
        <v>49</v>
      </c>
      <c r="Y39" t="s">
        <v>50</v>
      </c>
      <c r="AA39">
        <v>225</v>
      </c>
      <c r="AB39">
        <v>180</v>
      </c>
      <c r="AC39">
        <v>270</v>
      </c>
      <c r="AD39" t="s">
        <v>49</v>
      </c>
      <c r="AE39">
        <v>10164207</v>
      </c>
      <c r="AF39">
        <v>50633</v>
      </c>
      <c r="AH39" t="s">
        <v>50</v>
      </c>
      <c r="AI39" t="s">
        <v>50</v>
      </c>
      <c r="AJ39" t="s">
        <v>51</v>
      </c>
      <c r="AK39" t="s">
        <v>50</v>
      </c>
      <c r="AM39" t="s">
        <v>49</v>
      </c>
      <c r="AN39" t="s">
        <v>286</v>
      </c>
    </row>
    <row r="40" spans="1:40" x14ac:dyDescent="0.2">
      <c r="A40">
        <v>273323</v>
      </c>
      <c r="B40" t="s">
        <v>287</v>
      </c>
      <c r="C40" t="str">
        <f>"9780195044843"</f>
        <v>9780195044843</v>
      </c>
      <c r="D40" t="str">
        <f>"9780198021414"</f>
        <v>9780198021414</v>
      </c>
      <c r="E40" t="s">
        <v>288</v>
      </c>
      <c r="F40" t="s">
        <v>288</v>
      </c>
      <c r="G40" s="1">
        <v>36664</v>
      </c>
      <c r="H40" s="1">
        <v>39933</v>
      </c>
      <c r="I40" t="s">
        <v>43</v>
      </c>
      <c r="L40" t="s">
        <v>289</v>
      </c>
      <c r="M40" t="s">
        <v>91</v>
      </c>
      <c r="N40" t="s">
        <v>290</v>
      </c>
      <c r="O40">
        <v>973.92</v>
      </c>
      <c r="P40" t="s">
        <v>291</v>
      </c>
      <c r="Q40" t="s">
        <v>48</v>
      </c>
      <c r="R40" t="s">
        <v>49</v>
      </c>
      <c r="S40" t="s">
        <v>50</v>
      </c>
      <c r="T40" t="s">
        <v>50</v>
      </c>
      <c r="U40" t="s">
        <v>49</v>
      </c>
      <c r="V40" t="s">
        <v>49</v>
      </c>
      <c r="W40" t="s">
        <v>50</v>
      </c>
      <c r="X40" t="s">
        <v>49</v>
      </c>
      <c r="Y40" t="s">
        <v>50</v>
      </c>
      <c r="Z40">
        <v>133.53</v>
      </c>
      <c r="AA40">
        <v>109.26</v>
      </c>
      <c r="AB40">
        <v>80.930000000000007</v>
      </c>
      <c r="AC40">
        <v>133.53</v>
      </c>
      <c r="AD40" t="s">
        <v>49</v>
      </c>
      <c r="AE40">
        <v>10279014</v>
      </c>
      <c r="AF40">
        <v>134667</v>
      </c>
      <c r="AH40" t="s">
        <v>49</v>
      </c>
      <c r="AI40" t="s">
        <v>50</v>
      </c>
      <c r="AJ40" t="s">
        <v>51</v>
      </c>
      <c r="AK40" t="s">
        <v>50</v>
      </c>
      <c r="AM40" t="s">
        <v>49</v>
      </c>
      <c r="AN40" t="s">
        <v>292</v>
      </c>
    </row>
    <row r="41" spans="1:40" x14ac:dyDescent="0.2">
      <c r="A41">
        <v>273705</v>
      </c>
      <c r="B41" t="s">
        <v>293</v>
      </c>
      <c r="C41" t="str">
        <f>"9780415380263"</f>
        <v>9780415380263</v>
      </c>
      <c r="D41" t="str">
        <f>"9780203969793"</f>
        <v>9780203969793</v>
      </c>
      <c r="E41" t="s">
        <v>41</v>
      </c>
      <c r="F41" t="s">
        <v>42</v>
      </c>
      <c r="G41" s="1">
        <v>38881</v>
      </c>
      <c r="H41" s="1">
        <v>38990</v>
      </c>
      <c r="I41" t="s">
        <v>43</v>
      </c>
      <c r="J41">
        <v>2</v>
      </c>
      <c r="K41" t="s">
        <v>294</v>
      </c>
      <c r="L41" t="s">
        <v>295</v>
      </c>
      <c r="M41" t="s">
        <v>296</v>
      </c>
      <c r="N41" t="s">
        <v>297</v>
      </c>
      <c r="O41">
        <v>973.6</v>
      </c>
      <c r="P41" t="s">
        <v>298</v>
      </c>
      <c r="Q41" t="s">
        <v>48</v>
      </c>
      <c r="R41" t="s">
        <v>50</v>
      </c>
      <c r="S41" t="s">
        <v>50</v>
      </c>
      <c r="T41" t="s">
        <v>50</v>
      </c>
      <c r="U41" t="s">
        <v>49</v>
      </c>
      <c r="V41" t="s">
        <v>49</v>
      </c>
      <c r="W41" t="s">
        <v>50</v>
      </c>
      <c r="X41" t="s">
        <v>49</v>
      </c>
      <c r="Y41" t="s">
        <v>50</v>
      </c>
      <c r="AA41">
        <v>225</v>
      </c>
      <c r="AB41">
        <v>180</v>
      </c>
      <c r="AC41">
        <v>270</v>
      </c>
      <c r="AD41" t="s">
        <v>49</v>
      </c>
      <c r="AE41">
        <v>10272746</v>
      </c>
      <c r="AF41">
        <v>55269</v>
      </c>
      <c r="AH41" t="s">
        <v>50</v>
      </c>
      <c r="AI41" t="s">
        <v>50</v>
      </c>
      <c r="AJ41" t="s">
        <v>51</v>
      </c>
      <c r="AK41" t="s">
        <v>50</v>
      </c>
      <c r="AM41" t="s">
        <v>49</v>
      </c>
      <c r="AN41" t="s">
        <v>299</v>
      </c>
    </row>
    <row r="42" spans="1:40" x14ac:dyDescent="0.2">
      <c r="A42">
        <v>273833</v>
      </c>
      <c r="B42" t="s">
        <v>300</v>
      </c>
      <c r="C42" t="str">
        <f>"9780415341424"</f>
        <v>9780415341424</v>
      </c>
      <c r="D42" t="str">
        <f>"9780203480106"</f>
        <v>9780203480106</v>
      </c>
      <c r="E42" t="s">
        <v>301</v>
      </c>
      <c r="F42" t="s">
        <v>302</v>
      </c>
      <c r="G42" s="1">
        <v>38922</v>
      </c>
      <c r="H42" s="1">
        <v>38990</v>
      </c>
      <c r="I42" t="s">
        <v>43</v>
      </c>
      <c r="L42" t="s">
        <v>303</v>
      </c>
      <c r="M42" t="s">
        <v>304</v>
      </c>
      <c r="N42" t="s">
        <v>305</v>
      </c>
      <c r="O42">
        <v>720.47</v>
      </c>
      <c r="P42" t="s">
        <v>306</v>
      </c>
      <c r="Q42" t="s">
        <v>48</v>
      </c>
      <c r="R42" t="s">
        <v>49</v>
      </c>
      <c r="S42" t="s">
        <v>50</v>
      </c>
      <c r="T42" t="s">
        <v>50</v>
      </c>
      <c r="U42" t="s">
        <v>49</v>
      </c>
      <c r="V42" t="s">
        <v>49</v>
      </c>
      <c r="W42" t="s">
        <v>50</v>
      </c>
      <c r="X42" t="s">
        <v>49</v>
      </c>
      <c r="Y42" t="s">
        <v>50</v>
      </c>
      <c r="AA42">
        <v>262.5</v>
      </c>
      <c r="AB42">
        <v>210</v>
      </c>
      <c r="AC42">
        <v>315</v>
      </c>
      <c r="AD42" t="s">
        <v>49</v>
      </c>
      <c r="AE42">
        <v>10273178</v>
      </c>
      <c r="AF42">
        <v>55233</v>
      </c>
      <c r="AH42" t="s">
        <v>50</v>
      </c>
      <c r="AI42" t="s">
        <v>50</v>
      </c>
      <c r="AJ42" t="s">
        <v>51</v>
      </c>
      <c r="AK42" t="s">
        <v>50</v>
      </c>
      <c r="AM42" t="s">
        <v>49</v>
      </c>
      <c r="AN42" t="s">
        <v>307</v>
      </c>
    </row>
    <row r="43" spans="1:40" x14ac:dyDescent="0.2">
      <c r="A43">
        <v>273866</v>
      </c>
      <c r="B43" t="s">
        <v>308</v>
      </c>
      <c r="C43" t="str">
        <f>"9780415275293"</f>
        <v>9780415275293</v>
      </c>
      <c r="D43" t="str">
        <f>"9780203086216"</f>
        <v>9780203086216</v>
      </c>
      <c r="E43" t="s">
        <v>41</v>
      </c>
      <c r="F43" t="s">
        <v>42</v>
      </c>
      <c r="G43" s="1">
        <v>38923</v>
      </c>
      <c r="H43" s="1">
        <v>38990</v>
      </c>
      <c r="I43" t="s">
        <v>43</v>
      </c>
      <c r="K43" t="s">
        <v>280</v>
      </c>
      <c r="L43" t="s">
        <v>309</v>
      </c>
      <c r="M43" t="s">
        <v>91</v>
      </c>
      <c r="N43" t="s">
        <v>310</v>
      </c>
      <c r="O43">
        <v>973</v>
      </c>
      <c r="P43" t="s">
        <v>311</v>
      </c>
      <c r="Q43" t="s">
        <v>48</v>
      </c>
      <c r="R43" t="s">
        <v>49</v>
      </c>
      <c r="S43" t="s">
        <v>50</v>
      </c>
      <c r="T43" t="s">
        <v>50</v>
      </c>
      <c r="U43" t="s">
        <v>49</v>
      </c>
      <c r="V43" t="s">
        <v>49</v>
      </c>
      <c r="W43" t="s">
        <v>50</v>
      </c>
      <c r="X43" t="s">
        <v>49</v>
      </c>
      <c r="Y43" t="s">
        <v>50</v>
      </c>
      <c r="AA43">
        <v>225</v>
      </c>
      <c r="AB43">
        <v>180</v>
      </c>
      <c r="AC43">
        <v>270</v>
      </c>
      <c r="AD43" t="s">
        <v>49</v>
      </c>
      <c r="AE43">
        <v>10164067</v>
      </c>
      <c r="AF43">
        <v>54321</v>
      </c>
      <c r="AH43" t="s">
        <v>50</v>
      </c>
      <c r="AI43" t="s">
        <v>50</v>
      </c>
      <c r="AJ43" t="s">
        <v>51</v>
      </c>
      <c r="AK43" t="s">
        <v>50</v>
      </c>
      <c r="AM43" t="s">
        <v>49</v>
      </c>
      <c r="AN43" t="s">
        <v>312</v>
      </c>
    </row>
    <row r="44" spans="1:40" x14ac:dyDescent="0.2">
      <c r="A44">
        <v>279663</v>
      </c>
      <c r="B44" t="s">
        <v>313</v>
      </c>
      <c r="C44" t="str">
        <f>"9780195094275"</f>
        <v>9780195094275</v>
      </c>
      <c r="D44" t="str">
        <f>"9780198025436"</f>
        <v>9780198025436</v>
      </c>
      <c r="E44" t="s">
        <v>155</v>
      </c>
      <c r="F44" t="s">
        <v>156</v>
      </c>
      <c r="G44" s="1">
        <v>35726</v>
      </c>
      <c r="H44" s="1">
        <v>39052</v>
      </c>
      <c r="I44" t="s">
        <v>43</v>
      </c>
      <c r="L44" t="s">
        <v>314</v>
      </c>
      <c r="M44" t="s">
        <v>45</v>
      </c>
      <c r="N44" t="s">
        <v>315</v>
      </c>
      <c r="O44" t="s">
        <v>316</v>
      </c>
      <c r="P44" t="s">
        <v>317</v>
      </c>
      <c r="Q44" t="s">
        <v>48</v>
      </c>
      <c r="R44" t="s">
        <v>50</v>
      </c>
      <c r="S44" t="s">
        <v>50</v>
      </c>
      <c r="T44" t="s">
        <v>50</v>
      </c>
      <c r="U44" t="s">
        <v>49</v>
      </c>
      <c r="V44" t="s">
        <v>49</v>
      </c>
      <c r="W44" t="s">
        <v>50</v>
      </c>
      <c r="X44" t="s">
        <v>49</v>
      </c>
      <c r="Y44" t="s">
        <v>50</v>
      </c>
      <c r="Z44">
        <v>74.25</v>
      </c>
      <c r="AA44">
        <v>60.75</v>
      </c>
      <c r="AB44">
        <v>45</v>
      </c>
      <c r="AC44">
        <v>74.25</v>
      </c>
      <c r="AD44" t="s">
        <v>49</v>
      </c>
      <c r="AE44">
        <v>10087257</v>
      </c>
      <c r="AF44">
        <v>48145</v>
      </c>
      <c r="AH44" t="s">
        <v>50</v>
      </c>
      <c r="AI44" t="s">
        <v>50</v>
      </c>
      <c r="AJ44" t="s">
        <v>51</v>
      </c>
      <c r="AK44" t="s">
        <v>50</v>
      </c>
      <c r="AM44" t="s">
        <v>49</v>
      </c>
      <c r="AN44" t="s">
        <v>318</v>
      </c>
    </row>
    <row r="45" spans="1:40" x14ac:dyDescent="0.2">
      <c r="A45">
        <v>284206</v>
      </c>
      <c r="B45" t="s">
        <v>319</v>
      </c>
      <c r="C45" t="str">
        <f>"9781405107945"</f>
        <v>9781405107945</v>
      </c>
      <c r="D45" t="str">
        <f>"9781405152358"</f>
        <v>9781405152358</v>
      </c>
      <c r="E45" t="s">
        <v>54</v>
      </c>
      <c r="F45" t="s">
        <v>192</v>
      </c>
      <c r="G45" s="1">
        <v>38810</v>
      </c>
      <c r="H45" s="1">
        <v>39129</v>
      </c>
      <c r="I45" t="s">
        <v>43</v>
      </c>
      <c r="J45">
        <v>1</v>
      </c>
      <c r="K45" t="s">
        <v>320</v>
      </c>
      <c r="L45" t="s">
        <v>321</v>
      </c>
      <c r="M45" t="s">
        <v>171</v>
      </c>
      <c r="N45" t="s">
        <v>322</v>
      </c>
      <c r="O45" t="s">
        <v>323</v>
      </c>
      <c r="P45" t="s">
        <v>324</v>
      </c>
      <c r="Q45" t="s">
        <v>48</v>
      </c>
      <c r="R45" t="s">
        <v>50</v>
      </c>
      <c r="S45" t="s">
        <v>50</v>
      </c>
      <c r="T45" t="s">
        <v>50</v>
      </c>
      <c r="U45" t="s">
        <v>50</v>
      </c>
      <c r="V45" t="s">
        <v>49</v>
      </c>
      <c r="W45" t="s">
        <v>50</v>
      </c>
      <c r="X45" t="s">
        <v>50</v>
      </c>
      <c r="Y45" t="s">
        <v>50</v>
      </c>
      <c r="AD45" t="s">
        <v>49</v>
      </c>
      <c r="AE45">
        <v>10158946</v>
      </c>
      <c r="AF45">
        <v>74328</v>
      </c>
      <c r="AH45" t="s">
        <v>50</v>
      </c>
      <c r="AI45" t="s">
        <v>50</v>
      </c>
      <c r="AJ45" t="s">
        <v>51</v>
      </c>
      <c r="AK45" t="s">
        <v>50</v>
      </c>
      <c r="AM45" t="s">
        <v>49</v>
      </c>
      <c r="AN45" t="s">
        <v>325</v>
      </c>
    </row>
    <row r="46" spans="1:40" x14ac:dyDescent="0.2">
      <c r="A46">
        <v>284553</v>
      </c>
      <c r="B46" t="s">
        <v>326</v>
      </c>
      <c r="C46" t="str">
        <f>"9780470048504"</f>
        <v>9780470048504</v>
      </c>
      <c r="D46" t="str">
        <f>"9780470119464"</f>
        <v>9780470119464</v>
      </c>
      <c r="E46" t="s">
        <v>54</v>
      </c>
      <c r="F46" t="s">
        <v>168</v>
      </c>
      <c r="G46" s="1">
        <v>39111</v>
      </c>
      <c r="H46" s="1">
        <v>39120</v>
      </c>
      <c r="I46" t="s">
        <v>43</v>
      </c>
      <c r="J46">
        <v>1</v>
      </c>
      <c r="K46" t="s">
        <v>169</v>
      </c>
      <c r="L46" t="s">
        <v>327</v>
      </c>
      <c r="M46" t="s">
        <v>171</v>
      </c>
      <c r="N46" t="s">
        <v>328</v>
      </c>
      <c r="O46" t="s">
        <v>329</v>
      </c>
      <c r="P46" t="s">
        <v>330</v>
      </c>
      <c r="Q46" t="s">
        <v>48</v>
      </c>
      <c r="R46" t="s">
        <v>50</v>
      </c>
      <c r="S46" t="s">
        <v>50</v>
      </c>
      <c r="T46" t="s">
        <v>50</v>
      </c>
      <c r="U46" t="s">
        <v>49</v>
      </c>
      <c r="V46" t="s">
        <v>49</v>
      </c>
      <c r="W46" t="s">
        <v>50</v>
      </c>
      <c r="X46" t="s">
        <v>49</v>
      </c>
      <c r="Y46" t="s">
        <v>50</v>
      </c>
      <c r="Z46">
        <v>37.479999999999997</v>
      </c>
      <c r="AA46">
        <v>37.479999999999997</v>
      </c>
      <c r="AB46">
        <v>24.99</v>
      </c>
      <c r="AC46">
        <v>43.73</v>
      </c>
      <c r="AD46" t="s">
        <v>49</v>
      </c>
      <c r="AE46">
        <v>11194032</v>
      </c>
      <c r="AF46">
        <v>74067</v>
      </c>
      <c r="AH46" t="s">
        <v>50</v>
      </c>
      <c r="AI46" t="s">
        <v>50</v>
      </c>
      <c r="AJ46" t="s">
        <v>51</v>
      </c>
      <c r="AK46" t="s">
        <v>50</v>
      </c>
      <c r="AM46" t="s">
        <v>49</v>
      </c>
      <c r="AN46" t="s">
        <v>331</v>
      </c>
    </row>
    <row r="47" spans="1:40" x14ac:dyDescent="0.2">
      <c r="A47">
        <v>286463</v>
      </c>
      <c r="B47" t="s">
        <v>332</v>
      </c>
      <c r="C47" t="str">
        <f>"9781851094080"</f>
        <v>9781851094080</v>
      </c>
      <c r="D47" t="str">
        <f>"9781851094134"</f>
        <v>9781851094134</v>
      </c>
      <c r="E47" t="s">
        <v>232</v>
      </c>
      <c r="F47" t="s">
        <v>232</v>
      </c>
      <c r="G47" s="1">
        <v>38982</v>
      </c>
      <c r="H47" s="1">
        <v>39940</v>
      </c>
      <c r="I47" t="s">
        <v>43</v>
      </c>
      <c r="J47">
        <v>1</v>
      </c>
      <c r="L47" t="s">
        <v>333</v>
      </c>
      <c r="M47" t="s">
        <v>91</v>
      </c>
      <c r="N47" t="s">
        <v>334</v>
      </c>
      <c r="O47" t="s">
        <v>335</v>
      </c>
      <c r="P47" t="s">
        <v>336</v>
      </c>
      <c r="Q47" t="s">
        <v>48</v>
      </c>
      <c r="R47" t="s">
        <v>50</v>
      </c>
      <c r="S47" t="s">
        <v>50</v>
      </c>
      <c r="T47" t="s">
        <v>50</v>
      </c>
      <c r="U47" t="s">
        <v>49</v>
      </c>
      <c r="V47" t="s">
        <v>49</v>
      </c>
      <c r="W47" t="s">
        <v>50</v>
      </c>
      <c r="X47" t="s">
        <v>49</v>
      </c>
      <c r="Y47" t="s">
        <v>50</v>
      </c>
      <c r="Z47">
        <v>848.75</v>
      </c>
      <c r="AB47">
        <v>485</v>
      </c>
      <c r="AC47">
        <v>970</v>
      </c>
      <c r="AD47" t="s">
        <v>49</v>
      </c>
      <c r="AE47">
        <v>10183956</v>
      </c>
      <c r="AF47">
        <v>71322</v>
      </c>
      <c r="AH47" t="s">
        <v>50</v>
      </c>
      <c r="AI47" t="s">
        <v>50</v>
      </c>
      <c r="AJ47" t="s">
        <v>51</v>
      </c>
      <c r="AK47" t="s">
        <v>50</v>
      </c>
      <c r="AM47" t="s">
        <v>49</v>
      </c>
      <c r="AN47" t="s">
        <v>337</v>
      </c>
    </row>
    <row r="48" spans="1:40" x14ac:dyDescent="0.2">
      <c r="A48">
        <v>286465</v>
      </c>
      <c r="B48" t="s">
        <v>338</v>
      </c>
      <c r="C48" t="str">
        <f>"9781576079997"</f>
        <v>9781576079997</v>
      </c>
      <c r="D48" t="str">
        <f>"9781576070956"</f>
        <v>9781576070956</v>
      </c>
      <c r="E48" t="s">
        <v>232</v>
      </c>
      <c r="F48" t="s">
        <v>232</v>
      </c>
      <c r="G48" s="1">
        <v>38329</v>
      </c>
      <c r="H48" s="1">
        <v>39913</v>
      </c>
      <c r="I48" t="s">
        <v>43</v>
      </c>
      <c r="J48">
        <v>1</v>
      </c>
      <c r="L48" t="s">
        <v>339</v>
      </c>
      <c r="M48" t="s">
        <v>91</v>
      </c>
      <c r="N48" t="s">
        <v>340</v>
      </c>
      <c r="O48" t="s">
        <v>270</v>
      </c>
      <c r="P48" t="s">
        <v>341</v>
      </c>
      <c r="Q48" t="s">
        <v>48</v>
      </c>
      <c r="R48" t="s">
        <v>49</v>
      </c>
      <c r="S48" t="s">
        <v>50</v>
      </c>
      <c r="T48" t="s">
        <v>50</v>
      </c>
      <c r="U48" t="s">
        <v>49</v>
      </c>
      <c r="V48" t="s">
        <v>49</v>
      </c>
      <c r="W48" t="s">
        <v>50</v>
      </c>
      <c r="X48" t="s">
        <v>49</v>
      </c>
      <c r="Y48" t="s">
        <v>50</v>
      </c>
      <c r="Z48">
        <v>768.25</v>
      </c>
      <c r="AA48">
        <v>658.5</v>
      </c>
      <c r="AB48">
        <v>439</v>
      </c>
      <c r="AC48">
        <v>878</v>
      </c>
      <c r="AD48" t="s">
        <v>49</v>
      </c>
      <c r="AE48">
        <v>10529665</v>
      </c>
      <c r="AF48">
        <v>71404</v>
      </c>
      <c r="AH48" t="s">
        <v>50</v>
      </c>
      <c r="AI48" t="s">
        <v>50</v>
      </c>
      <c r="AJ48" t="s">
        <v>51</v>
      </c>
      <c r="AK48" t="s">
        <v>50</v>
      </c>
      <c r="AM48" t="s">
        <v>49</v>
      </c>
      <c r="AN48" t="s">
        <v>342</v>
      </c>
    </row>
    <row r="49" spans="1:40" x14ac:dyDescent="0.2">
      <c r="A49">
        <v>286488</v>
      </c>
      <c r="B49" t="s">
        <v>343</v>
      </c>
      <c r="C49" t="str">
        <f>"9781851098798"</f>
        <v>9781851098798</v>
      </c>
      <c r="D49" t="str">
        <f>"9781851098804"</f>
        <v>9781851098804</v>
      </c>
      <c r="E49" t="s">
        <v>232</v>
      </c>
      <c r="F49" t="s">
        <v>232</v>
      </c>
      <c r="G49" s="1">
        <v>38644</v>
      </c>
      <c r="H49" s="1">
        <v>39940</v>
      </c>
      <c r="I49" t="s">
        <v>43</v>
      </c>
      <c r="J49">
        <v>1</v>
      </c>
      <c r="K49" t="s">
        <v>344</v>
      </c>
      <c r="L49" t="s">
        <v>345</v>
      </c>
      <c r="M49" t="s">
        <v>91</v>
      </c>
      <c r="N49" t="s">
        <v>346</v>
      </c>
      <c r="O49" t="s">
        <v>347</v>
      </c>
      <c r="P49" t="s">
        <v>265</v>
      </c>
      <c r="Q49" t="s">
        <v>48</v>
      </c>
      <c r="R49" t="s">
        <v>49</v>
      </c>
      <c r="S49" t="s">
        <v>50</v>
      </c>
      <c r="T49" t="s">
        <v>50</v>
      </c>
      <c r="U49" t="s">
        <v>49</v>
      </c>
      <c r="V49" t="s">
        <v>49</v>
      </c>
      <c r="W49" t="s">
        <v>50</v>
      </c>
      <c r="X49" t="s">
        <v>49</v>
      </c>
      <c r="Y49" t="s">
        <v>50</v>
      </c>
      <c r="Z49">
        <v>934.5</v>
      </c>
      <c r="AA49">
        <v>801</v>
      </c>
      <c r="AB49">
        <v>534</v>
      </c>
      <c r="AC49">
        <v>1068</v>
      </c>
      <c r="AD49" t="s">
        <v>49</v>
      </c>
      <c r="AE49">
        <v>10183933</v>
      </c>
      <c r="AF49">
        <v>71403</v>
      </c>
      <c r="AH49" t="s">
        <v>50</v>
      </c>
      <c r="AI49" t="s">
        <v>50</v>
      </c>
      <c r="AJ49" t="s">
        <v>51</v>
      </c>
      <c r="AK49" t="s">
        <v>50</v>
      </c>
      <c r="AM49" t="s">
        <v>49</v>
      </c>
      <c r="AN49" t="s">
        <v>348</v>
      </c>
    </row>
    <row r="50" spans="1:40" x14ac:dyDescent="0.2">
      <c r="A50">
        <v>286959</v>
      </c>
      <c r="B50" t="s">
        <v>349</v>
      </c>
      <c r="C50" t="str">
        <f>"9781932792560"</f>
        <v>9781932792560</v>
      </c>
      <c r="D50" t="str">
        <f>"9781602581128"</f>
        <v>9781602581128</v>
      </c>
      <c r="E50" t="s">
        <v>350</v>
      </c>
      <c r="F50" t="s">
        <v>350</v>
      </c>
      <c r="G50" s="1">
        <v>38930</v>
      </c>
      <c r="H50" s="1">
        <v>39170</v>
      </c>
      <c r="I50" t="s">
        <v>43</v>
      </c>
      <c r="J50">
        <v>1</v>
      </c>
      <c r="L50" t="s">
        <v>351</v>
      </c>
      <c r="M50" t="s">
        <v>45</v>
      </c>
      <c r="N50" t="s">
        <v>352</v>
      </c>
      <c r="O50" t="s">
        <v>353</v>
      </c>
      <c r="P50" t="s">
        <v>354</v>
      </c>
      <c r="Q50" t="s">
        <v>48</v>
      </c>
      <c r="R50" t="s">
        <v>49</v>
      </c>
      <c r="S50" t="s">
        <v>50</v>
      </c>
      <c r="T50" t="s">
        <v>50</v>
      </c>
      <c r="U50" t="s">
        <v>49</v>
      </c>
      <c r="V50" t="s">
        <v>49</v>
      </c>
      <c r="W50" t="s">
        <v>50</v>
      </c>
      <c r="X50" t="s">
        <v>50</v>
      </c>
      <c r="Y50" t="s">
        <v>50</v>
      </c>
      <c r="AB50">
        <v>59.95</v>
      </c>
      <c r="AD50" t="s">
        <v>49</v>
      </c>
      <c r="AF50">
        <v>62193</v>
      </c>
      <c r="AH50" t="s">
        <v>50</v>
      </c>
      <c r="AI50" t="s">
        <v>50</v>
      </c>
      <c r="AJ50" t="s">
        <v>51</v>
      </c>
      <c r="AK50" t="s">
        <v>50</v>
      </c>
      <c r="AM50" t="s">
        <v>49</v>
      </c>
      <c r="AN50" t="s">
        <v>355</v>
      </c>
    </row>
    <row r="51" spans="1:40" x14ac:dyDescent="0.2">
      <c r="A51">
        <v>287314</v>
      </c>
      <c r="B51" t="s">
        <v>356</v>
      </c>
      <c r="C51" t="str">
        <f>"9780470037508"</f>
        <v>9780470037508</v>
      </c>
      <c r="D51" t="str">
        <f>"9780470130506"</f>
        <v>9780470130506</v>
      </c>
      <c r="E51" t="s">
        <v>54</v>
      </c>
      <c r="F51" t="s">
        <v>149</v>
      </c>
      <c r="G51" s="1">
        <v>39092</v>
      </c>
      <c r="H51" s="1">
        <v>39163</v>
      </c>
      <c r="I51" t="s">
        <v>43</v>
      </c>
      <c r="J51">
        <v>1</v>
      </c>
      <c r="K51" t="s">
        <v>149</v>
      </c>
      <c r="L51" t="s">
        <v>357</v>
      </c>
      <c r="M51" t="s">
        <v>45</v>
      </c>
      <c r="N51" t="s">
        <v>358</v>
      </c>
      <c r="O51" t="s">
        <v>359</v>
      </c>
      <c r="P51" t="s">
        <v>360</v>
      </c>
      <c r="Q51" t="s">
        <v>48</v>
      </c>
      <c r="R51" t="s">
        <v>49</v>
      </c>
      <c r="S51" t="s">
        <v>50</v>
      </c>
      <c r="T51" t="s">
        <v>50</v>
      </c>
      <c r="U51" t="s">
        <v>49</v>
      </c>
      <c r="V51" t="s">
        <v>49</v>
      </c>
      <c r="W51" t="s">
        <v>50</v>
      </c>
      <c r="X51" t="s">
        <v>49</v>
      </c>
      <c r="Y51" t="s">
        <v>50</v>
      </c>
      <c r="Z51">
        <v>14.98</v>
      </c>
      <c r="AA51">
        <v>14.98</v>
      </c>
      <c r="AB51">
        <v>9.99</v>
      </c>
      <c r="AC51">
        <v>17.48</v>
      </c>
      <c r="AD51" t="s">
        <v>49</v>
      </c>
      <c r="AE51">
        <v>10278956</v>
      </c>
      <c r="AF51">
        <v>82258</v>
      </c>
      <c r="AH51" t="s">
        <v>50</v>
      </c>
      <c r="AI51" t="s">
        <v>50</v>
      </c>
      <c r="AJ51" t="s">
        <v>51</v>
      </c>
      <c r="AK51" t="s">
        <v>50</v>
      </c>
      <c r="AM51" t="s">
        <v>49</v>
      </c>
      <c r="AN51" t="s">
        <v>361</v>
      </c>
    </row>
    <row r="52" spans="1:40" x14ac:dyDescent="0.2">
      <c r="A52">
        <v>287391</v>
      </c>
      <c r="B52" t="s">
        <v>362</v>
      </c>
      <c r="C52" t="str">
        <f>"9780470068175"</f>
        <v>9780470068175</v>
      </c>
      <c r="D52" t="str">
        <f>"9780470121856"</f>
        <v>9780470121856</v>
      </c>
      <c r="E52" t="s">
        <v>54</v>
      </c>
      <c r="F52" t="s">
        <v>168</v>
      </c>
      <c r="G52" s="1">
        <v>41018</v>
      </c>
      <c r="H52" s="1">
        <v>39163</v>
      </c>
      <c r="I52" t="s">
        <v>43</v>
      </c>
      <c r="J52">
        <v>1</v>
      </c>
      <c r="K52" t="s">
        <v>363</v>
      </c>
      <c r="L52" t="s">
        <v>364</v>
      </c>
      <c r="M52" t="s">
        <v>171</v>
      </c>
      <c r="N52" t="s">
        <v>365</v>
      </c>
      <c r="O52" t="s">
        <v>366</v>
      </c>
      <c r="P52" t="s">
        <v>367</v>
      </c>
      <c r="Q52" t="s">
        <v>48</v>
      </c>
      <c r="R52" t="s">
        <v>50</v>
      </c>
      <c r="S52" t="s">
        <v>50</v>
      </c>
      <c r="T52" t="s">
        <v>50</v>
      </c>
      <c r="U52" t="s">
        <v>49</v>
      </c>
      <c r="V52" t="s">
        <v>49</v>
      </c>
      <c r="W52" t="s">
        <v>50</v>
      </c>
      <c r="X52" t="s">
        <v>49</v>
      </c>
      <c r="Y52" t="s">
        <v>50</v>
      </c>
      <c r="Z52">
        <v>37.479999999999997</v>
      </c>
      <c r="AA52">
        <v>37.479999999999997</v>
      </c>
      <c r="AB52">
        <v>24.99</v>
      </c>
      <c r="AC52">
        <v>43.73</v>
      </c>
      <c r="AD52" t="s">
        <v>49</v>
      </c>
      <c r="AE52">
        <v>11194070</v>
      </c>
      <c r="AF52">
        <v>82239</v>
      </c>
      <c r="AH52" t="s">
        <v>50</v>
      </c>
      <c r="AI52" t="s">
        <v>50</v>
      </c>
      <c r="AJ52" t="s">
        <v>51</v>
      </c>
      <c r="AK52" t="s">
        <v>50</v>
      </c>
      <c r="AM52" t="s">
        <v>49</v>
      </c>
      <c r="AN52" t="s">
        <v>368</v>
      </c>
    </row>
    <row r="53" spans="1:40" x14ac:dyDescent="0.2">
      <c r="A53">
        <v>290053</v>
      </c>
      <c r="B53" t="s">
        <v>369</v>
      </c>
      <c r="C53" t="str">
        <f>"9780849380518"</f>
        <v>9780849380518</v>
      </c>
      <c r="D53" t="str">
        <f>"9781420007992"</f>
        <v>9781420007992</v>
      </c>
      <c r="E53" t="s">
        <v>41</v>
      </c>
      <c r="F53" t="s">
        <v>42</v>
      </c>
      <c r="G53" s="1">
        <v>38730</v>
      </c>
      <c r="H53" s="1">
        <v>39181</v>
      </c>
      <c r="I53" t="s">
        <v>43</v>
      </c>
      <c r="J53">
        <v>1</v>
      </c>
      <c r="K53" t="s">
        <v>370</v>
      </c>
      <c r="L53" t="s">
        <v>371</v>
      </c>
      <c r="M53" t="s">
        <v>234</v>
      </c>
      <c r="N53" t="s">
        <v>372</v>
      </c>
      <c r="O53" t="s">
        <v>373</v>
      </c>
      <c r="P53" t="s">
        <v>374</v>
      </c>
      <c r="Q53" t="s">
        <v>48</v>
      </c>
      <c r="R53" t="s">
        <v>49</v>
      </c>
      <c r="S53" t="s">
        <v>50</v>
      </c>
      <c r="T53" t="s">
        <v>50</v>
      </c>
      <c r="U53" t="s">
        <v>49</v>
      </c>
      <c r="V53" t="s">
        <v>49</v>
      </c>
      <c r="W53" t="s">
        <v>50</v>
      </c>
      <c r="X53" t="s">
        <v>49</v>
      </c>
      <c r="Y53" t="s">
        <v>50</v>
      </c>
      <c r="AA53">
        <v>150</v>
      </c>
      <c r="AB53">
        <v>120</v>
      </c>
      <c r="AC53">
        <v>180</v>
      </c>
      <c r="AD53" t="s">
        <v>49</v>
      </c>
      <c r="AE53">
        <v>10170746</v>
      </c>
      <c r="AF53">
        <v>108132</v>
      </c>
      <c r="AH53" t="s">
        <v>50</v>
      </c>
      <c r="AI53" t="s">
        <v>50</v>
      </c>
      <c r="AJ53" t="s">
        <v>51</v>
      </c>
      <c r="AK53" t="s">
        <v>50</v>
      </c>
      <c r="AM53" t="s">
        <v>49</v>
      </c>
      <c r="AN53" t="s">
        <v>375</v>
      </c>
    </row>
    <row r="54" spans="1:40" x14ac:dyDescent="0.2">
      <c r="A54">
        <v>290987</v>
      </c>
      <c r="B54" t="s">
        <v>376</v>
      </c>
      <c r="C54" t="str">
        <f>"9780470026823"</f>
        <v>9780470026823</v>
      </c>
      <c r="D54" t="str">
        <f>"9780470060216"</f>
        <v>9780470060216</v>
      </c>
      <c r="E54" t="s">
        <v>54</v>
      </c>
      <c r="F54" t="s">
        <v>54</v>
      </c>
      <c r="G54" s="1">
        <v>39181</v>
      </c>
      <c r="H54" s="1">
        <v>39184</v>
      </c>
      <c r="I54" t="s">
        <v>43</v>
      </c>
      <c r="J54">
        <v>1</v>
      </c>
      <c r="K54" t="s">
        <v>377</v>
      </c>
      <c r="L54" t="s">
        <v>378</v>
      </c>
      <c r="M54" t="s">
        <v>379</v>
      </c>
      <c r="N54" t="s">
        <v>380</v>
      </c>
      <c r="O54">
        <v>610.73069199999998</v>
      </c>
      <c r="P54" t="s">
        <v>381</v>
      </c>
      <c r="Q54" t="s">
        <v>48</v>
      </c>
      <c r="R54" t="s">
        <v>49</v>
      </c>
      <c r="S54" t="s">
        <v>50</v>
      </c>
      <c r="T54" t="s">
        <v>50</v>
      </c>
      <c r="U54" t="s">
        <v>49</v>
      </c>
      <c r="V54" t="s">
        <v>49</v>
      </c>
      <c r="W54" t="s">
        <v>50</v>
      </c>
      <c r="X54" t="s">
        <v>49</v>
      </c>
      <c r="Y54" t="s">
        <v>50</v>
      </c>
      <c r="Z54">
        <v>143.62</v>
      </c>
      <c r="AA54">
        <v>143.62</v>
      </c>
      <c r="AB54">
        <v>95.75</v>
      </c>
      <c r="AC54">
        <v>167.56</v>
      </c>
      <c r="AD54" t="s">
        <v>49</v>
      </c>
      <c r="AE54">
        <v>10295776</v>
      </c>
      <c r="AF54">
        <v>83910</v>
      </c>
      <c r="AH54" t="s">
        <v>50</v>
      </c>
      <c r="AI54" t="s">
        <v>50</v>
      </c>
      <c r="AJ54" t="s">
        <v>51</v>
      </c>
      <c r="AK54" t="s">
        <v>50</v>
      </c>
      <c r="AM54" t="s">
        <v>49</v>
      </c>
      <c r="AN54" t="s">
        <v>382</v>
      </c>
    </row>
    <row r="55" spans="1:40" x14ac:dyDescent="0.2">
      <c r="A55">
        <v>291211</v>
      </c>
      <c r="B55" t="s">
        <v>383</v>
      </c>
      <c r="C55" t="str">
        <f>"9781851095445"</f>
        <v>9781851095445</v>
      </c>
      <c r="D55" t="str">
        <f>"9781851095490"</f>
        <v>9781851095490</v>
      </c>
      <c r="E55" t="s">
        <v>384</v>
      </c>
      <c r="F55" t="s">
        <v>384</v>
      </c>
      <c r="G55" s="1">
        <v>39161</v>
      </c>
      <c r="H55" s="1">
        <v>39201</v>
      </c>
      <c r="I55" t="s">
        <v>43</v>
      </c>
      <c r="L55" t="s">
        <v>385</v>
      </c>
      <c r="M55" t="s">
        <v>386</v>
      </c>
      <c r="N55" t="s">
        <v>387</v>
      </c>
      <c r="O55" t="s">
        <v>388</v>
      </c>
      <c r="P55" t="s">
        <v>389</v>
      </c>
      <c r="Q55" t="s">
        <v>48</v>
      </c>
      <c r="R55" t="s">
        <v>49</v>
      </c>
      <c r="S55" t="s">
        <v>50</v>
      </c>
      <c r="T55" t="s">
        <v>50</v>
      </c>
      <c r="U55" t="s">
        <v>49</v>
      </c>
      <c r="V55" t="s">
        <v>49</v>
      </c>
      <c r="W55" t="s">
        <v>50</v>
      </c>
      <c r="X55" t="s">
        <v>49</v>
      </c>
      <c r="Y55" t="s">
        <v>50</v>
      </c>
      <c r="Z55">
        <v>334.25</v>
      </c>
      <c r="AA55">
        <v>286.5</v>
      </c>
      <c r="AB55">
        <v>191</v>
      </c>
      <c r="AC55">
        <v>382</v>
      </c>
      <c r="AD55" t="s">
        <v>49</v>
      </c>
      <c r="AE55">
        <v>10183912</v>
      </c>
      <c r="AF55">
        <v>84147</v>
      </c>
      <c r="AH55" t="s">
        <v>50</v>
      </c>
      <c r="AI55" t="s">
        <v>50</v>
      </c>
      <c r="AJ55" t="s">
        <v>51</v>
      </c>
      <c r="AK55" t="s">
        <v>50</v>
      </c>
      <c r="AM55" t="s">
        <v>49</v>
      </c>
      <c r="AN55" t="s">
        <v>390</v>
      </c>
    </row>
    <row r="56" spans="1:40" x14ac:dyDescent="0.2">
      <c r="A56">
        <v>292516</v>
      </c>
      <c r="B56" t="s">
        <v>391</v>
      </c>
      <c r="C56" t="str">
        <f>"9780787960759"</f>
        <v>9780787960759</v>
      </c>
      <c r="D56" t="str">
        <f>"9780787962807"</f>
        <v>9780787962807</v>
      </c>
      <c r="E56" t="s">
        <v>54</v>
      </c>
      <c r="F56" t="s">
        <v>55</v>
      </c>
      <c r="G56" s="1">
        <v>37357</v>
      </c>
      <c r="H56" s="1">
        <v>40884</v>
      </c>
      <c r="I56" t="s">
        <v>43</v>
      </c>
      <c r="J56">
        <v>1</v>
      </c>
      <c r="K56" t="s">
        <v>56</v>
      </c>
      <c r="L56" t="s">
        <v>57</v>
      </c>
      <c r="M56" t="s">
        <v>58</v>
      </c>
      <c r="N56" t="s">
        <v>392</v>
      </c>
      <c r="O56" t="s">
        <v>393</v>
      </c>
      <c r="P56" t="s">
        <v>394</v>
      </c>
      <c r="Q56" t="s">
        <v>48</v>
      </c>
      <c r="R56" t="s">
        <v>49</v>
      </c>
      <c r="S56" t="s">
        <v>50</v>
      </c>
      <c r="T56" t="s">
        <v>50</v>
      </c>
      <c r="U56" t="s">
        <v>49</v>
      </c>
      <c r="V56" t="s">
        <v>49</v>
      </c>
      <c r="W56" t="s">
        <v>50</v>
      </c>
      <c r="X56" t="s">
        <v>49</v>
      </c>
      <c r="Y56" t="s">
        <v>50</v>
      </c>
      <c r="Z56">
        <v>40.5</v>
      </c>
      <c r="AA56">
        <v>40.5</v>
      </c>
      <c r="AB56">
        <v>27</v>
      </c>
      <c r="AC56">
        <v>47.25</v>
      </c>
      <c r="AD56" t="s">
        <v>49</v>
      </c>
      <c r="AE56">
        <v>10304225</v>
      </c>
      <c r="AF56">
        <v>85623</v>
      </c>
      <c r="AH56" t="s">
        <v>50</v>
      </c>
      <c r="AI56" t="s">
        <v>50</v>
      </c>
      <c r="AJ56" t="s">
        <v>51</v>
      </c>
      <c r="AK56" t="s">
        <v>50</v>
      </c>
      <c r="AM56" t="s">
        <v>49</v>
      </c>
      <c r="AN56" t="s">
        <v>395</v>
      </c>
    </row>
    <row r="57" spans="1:40" x14ac:dyDescent="0.2">
      <c r="A57">
        <v>293640</v>
      </c>
      <c r="B57" t="s">
        <v>396</v>
      </c>
      <c r="C57" t="str">
        <f>"9780415953511"</f>
        <v>9780415953511</v>
      </c>
      <c r="D57" t="str">
        <f>"9780203957165"</f>
        <v>9780203957165</v>
      </c>
      <c r="E57" t="s">
        <v>42</v>
      </c>
      <c r="F57" t="s">
        <v>42</v>
      </c>
      <c r="G57" s="1">
        <v>38867</v>
      </c>
      <c r="H57" s="1">
        <v>39885</v>
      </c>
      <c r="I57" t="s">
        <v>43</v>
      </c>
      <c r="L57" t="s">
        <v>397</v>
      </c>
      <c r="M57" t="s">
        <v>234</v>
      </c>
      <c r="N57" t="s">
        <v>398</v>
      </c>
      <c r="O57">
        <v>363.23097300000001</v>
      </c>
      <c r="P57" t="s">
        <v>399</v>
      </c>
      <c r="Q57" t="s">
        <v>48</v>
      </c>
      <c r="R57" t="s">
        <v>50</v>
      </c>
      <c r="S57" t="s">
        <v>50</v>
      </c>
      <c r="T57" t="s">
        <v>50</v>
      </c>
      <c r="U57" t="s">
        <v>49</v>
      </c>
      <c r="V57" t="s">
        <v>49</v>
      </c>
      <c r="W57" t="s">
        <v>50</v>
      </c>
      <c r="X57" t="s">
        <v>49</v>
      </c>
      <c r="Y57" t="s">
        <v>50</v>
      </c>
      <c r="Z57">
        <v>44.92</v>
      </c>
      <c r="AA57">
        <v>37.44</v>
      </c>
      <c r="AB57">
        <v>29.95</v>
      </c>
      <c r="AD57" t="s">
        <v>49</v>
      </c>
      <c r="AE57">
        <v>11164602</v>
      </c>
      <c r="AF57">
        <v>109446</v>
      </c>
      <c r="AH57" t="s">
        <v>50</v>
      </c>
      <c r="AI57" t="s">
        <v>50</v>
      </c>
      <c r="AJ57" t="s">
        <v>51</v>
      </c>
      <c r="AK57" t="s">
        <v>50</v>
      </c>
      <c r="AM57" t="s">
        <v>49</v>
      </c>
      <c r="AN57" t="s">
        <v>400</v>
      </c>
    </row>
    <row r="58" spans="1:40" x14ac:dyDescent="0.2">
      <c r="A58">
        <v>305248</v>
      </c>
      <c r="B58" t="s">
        <v>401</v>
      </c>
      <c r="C58" t="str">
        <f>"9781851096381"</f>
        <v>9781851096381</v>
      </c>
      <c r="D58" t="str">
        <f>"9781851096435"</f>
        <v>9781851096435</v>
      </c>
      <c r="E58" t="s">
        <v>384</v>
      </c>
      <c r="F58" t="s">
        <v>384</v>
      </c>
      <c r="G58" s="1">
        <v>39322</v>
      </c>
      <c r="H58" s="1">
        <v>40338</v>
      </c>
      <c r="I58" t="s">
        <v>43</v>
      </c>
      <c r="K58" t="s">
        <v>402</v>
      </c>
      <c r="L58" t="s">
        <v>403</v>
      </c>
      <c r="M58" t="s">
        <v>91</v>
      </c>
      <c r="N58" t="s">
        <v>404</v>
      </c>
      <c r="O58" t="s">
        <v>405</v>
      </c>
      <c r="P58" t="s">
        <v>406</v>
      </c>
      <c r="Q58" t="s">
        <v>48</v>
      </c>
      <c r="R58" t="s">
        <v>49</v>
      </c>
      <c r="S58" t="s">
        <v>50</v>
      </c>
      <c r="T58" t="s">
        <v>50</v>
      </c>
      <c r="U58" t="s">
        <v>49</v>
      </c>
      <c r="V58" t="s">
        <v>49</v>
      </c>
      <c r="W58" t="s">
        <v>50</v>
      </c>
      <c r="X58" t="s">
        <v>49</v>
      </c>
      <c r="Y58" t="s">
        <v>50</v>
      </c>
      <c r="Z58">
        <v>334.25</v>
      </c>
      <c r="AA58">
        <v>286.5</v>
      </c>
      <c r="AB58">
        <v>191</v>
      </c>
      <c r="AC58">
        <v>382</v>
      </c>
      <c r="AD58" t="s">
        <v>49</v>
      </c>
      <c r="AE58">
        <v>10191371</v>
      </c>
      <c r="AF58">
        <v>97469</v>
      </c>
      <c r="AH58" t="s">
        <v>50</v>
      </c>
      <c r="AI58" t="s">
        <v>50</v>
      </c>
      <c r="AJ58" t="s">
        <v>51</v>
      </c>
      <c r="AK58" t="s">
        <v>50</v>
      </c>
      <c r="AM58" t="s">
        <v>49</v>
      </c>
      <c r="AN58" t="s">
        <v>407</v>
      </c>
    </row>
    <row r="59" spans="1:40" x14ac:dyDescent="0.2">
      <c r="A59">
        <v>307046</v>
      </c>
      <c r="B59" t="s">
        <v>408</v>
      </c>
      <c r="C59" t="str">
        <f>"9780521835329"</f>
        <v>9780521835329</v>
      </c>
      <c r="D59" t="str">
        <f>"9780511294129"</f>
        <v>9780511294129</v>
      </c>
      <c r="E59" t="s">
        <v>125</v>
      </c>
      <c r="F59" t="s">
        <v>125</v>
      </c>
      <c r="G59" s="1">
        <v>39149</v>
      </c>
      <c r="H59" s="1">
        <v>39472</v>
      </c>
      <c r="I59" t="s">
        <v>43</v>
      </c>
      <c r="K59" t="s">
        <v>409</v>
      </c>
      <c r="L59" t="s">
        <v>410</v>
      </c>
      <c r="M59" t="s">
        <v>45</v>
      </c>
      <c r="N59" t="s">
        <v>411</v>
      </c>
      <c r="O59">
        <v>448.2</v>
      </c>
      <c r="P59" t="s">
        <v>412</v>
      </c>
      <c r="Q59" t="s">
        <v>48</v>
      </c>
      <c r="R59" t="s">
        <v>49</v>
      </c>
      <c r="S59" t="s">
        <v>50</v>
      </c>
      <c r="T59" t="s">
        <v>50</v>
      </c>
      <c r="U59" t="s">
        <v>49</v>
      </c>
      <c r="V59" t="s">
        <v>49</v>
      </c>
      <c r="W59" t="s">
        <v>50</v>
      </c>
      <c r="X59" t="s">
        <v>50</v>
      </c>
      <c r="Y59" t="s">
        <v>50</v>
      </c>
      <c r="Z59">
        <v>215</v>
      </c>
      <c r="AA59">
        <v>430</v>
      </c>
      <c r="AB59">
        <v>215</v>
      </c>
      <c r="AD59" t="s">
        <v>49</v>
      </c>
      <c r="AE59">
        <v>10187151</v>
      </c>
      <c r="AF59">
        <v>95961</v>
      </c>
      <c r="AH59" t="s">
        <v>50</v>
      </c>
      <c r="AI59" t="s">
        <v>50</v>
      </c>
      <c r="AJ59" t="s">
        <v>51</v>
      </c>
      <c r="AK59" t="s">
        <v>50</v>
      </c>
      <c r="AM59" t="s">
        <v>49</v>
      </c>
      <c r="AN59" t="s">
        <v>413</v>
      </c>
    </row>
    <row r="60" spans="1:40" x14ac:dyDescent="0.2">
      <c r="A60">
        <v>308666</v>
      </c>
      <c r="B60" t="s">
        <v>414</v>
      </c>
      <c r="C60" t="str">
        <f>"9780415391689"</f>
        <v>9780415391689</v>
      </c>
      <c r="D60" t="str">
        <f>"9780203967522"</f>
        <v>9780203967522</v>
      </c>
      <c r="E60" t="s">
        <v>41</v>
      </c>
      <c r="F60" t="s">
        <v>42</v>
      </c>
      <c r="G60" s="1">
        <v>39314</v>
      </c>
      <c r="H60" s="1">
        <v>39703</v>
      </c>
      <c r="I60" t="s">
        <v>43</v>
      </c>
      <c r="J60">
        <v>11</v>
      </c>
      <c r="L60" t="s">
        <v>415</v>
      </c>
      <c r="M60" t="s">
        <v>416</v>
      </c>
      <c r="N60" t="s">
        <v>417</v>
      </c>
      <c r="O60">
        <v>911</v>
      </c>
      <c r="P60" t="s">
        <v>418</v>
      </c>
      <c r="Q60" t="s">
        <v>48</v>
      </c>
      <c r="R60" t="s">
        <v>49</v>
      </c>
      <c r="S60" t="s">
        <v>50</v>
      </c>
      <c r="T60" t="s">
        <v>50</v>
      </c>
      <c r="U60" t="s">
        <v>49</v>
      </c>
      <c r="V60" t="s">
        <v>49</v>
      </c>
      <c r="W60" t="s">
        <v>50</v>
      </c>
      <c r="X60" t="s">
        <v>49</v>
      </c>
      <c r="Y60" t="s">
        <v>50</v>
      </c>
      <c r="AA60">
        <v>193.75</v>
      </c>
      <c r="AB60">
        <v>155</v>
      </c>
      <c r="AC60">
        <v>232.5</v>
      </c>
      <c r="AD60" t="s">
        <v>49</v>
      </c>
      <c r="AE60">
        <v>10187057</v>
      </c>
      <c r="AF60">
        <v>93199</v>
      </c>
      <c r="AH60" t="s">
        <v>50</v>
      </c>
      <c r="AI60" t="s">
        <v>50</v>
      </c>
      <c r="AJ60" t="s">
        <v>51</v>
      </c>
      <c r="AK60" t="s">
        <v>50</v>
      </c>
      <c r="AM60" t="s">
        <v>49</v>
      </c>
      <c r="AN60" t="s">
        <v>419</v>
      </c>
    </row>
    <row r="61" spans="1:40" x14ac:dyDescent="0.2">
      <c r="A61">
        <v>309812</v>
      </c>
      <c r="B61" t="s">
        <v>420</v>
      </c>
      <c r="C61" t="str">
        <f>"9780787995317"</f>
        <v>9780787995317</v>
      </c>
      <c r="D61" t="str">
        <f>"9780787998349"</f>
        <v>9780787998349</v>
      </c>
      <c r="E61" t="s">
        <v>421</v>
      </c>
      <c r="F61" t="s">
        <v>55</v>
      </c>
      <c r="G61" s="1">
        <v>39307</v>
      </c>
      <c r="H61" s="1">
        <v>39345</v>
      </c>
      <c r="I61" t="s">
        <v>43</v>
      </c>
      <c r="J61">
        <v>1</v>
      </c>
      <c r="K61" t="s">
        <v>422</v>
      </c>
      <c r="L61" t="s">
        <v>423</v>
      </c>
      <c r="M61" t="s">
        <v>58</v>
      </c>
      <c r="N61" t="s">
        <v>424</v>
      </c>
      <c r="O61" t="s">
        <v>425</v>
      </c>
      <c r="P61" t="s">
        <v>426</v>
      </c>
      <c r="Q61" t="s">
        <v>48</v>
      </c>
      <c r="R61" t="s">
        <v>50</v>
      </c>
      <c r="S61" t="s">
        <v>50</v>
      </c>
      <c r="T61" t="s">
        <v>50</v>
      </c>
      <c r="U61" t="s">
        <v>49</v>
      </c>
      <c r="V61" t="s">
        <v>49</v>
      </c>
      <c r="W61" t="s">
        <v>50</v>
      </c>
      <c r="X61" t="s">
        <v>49</v>
      </c>
      <c r="Y61" t="s">
        <v>50</v>
      </c>
      <c r="Z61">
        <v>37.42</v>
      </c>
      <c r="AA61">
        <v>37.42</v>
      </c>
      <c r="AB61">
        <v>24.95</v>
      </c>
      <c r="AC61">
        <v>43.66</v>
      </c>
      <c r="AD61" t="s">
        <v>49</v>
      </c>
      <c r="AE61">
        <v>10301368</v>
      </c>
      <c r="AF61">
        <v>95738</v>
      </c>
      <c r="AH61" t="s">
        <v>50</v>
      </c>
      <c r="AI61" t="s">
        <v>50</v>
      </c>
      <c r="AJ61" t="s">
        <v>51</v>
      </c>
      <c r="AK61" t="s">
        <v>50</v>
      </c>
      <c r="AM61" t="s">
        <v>49</v>
      </c>
      <c r="AN61" t="s">
        <v>427</v>
      </c>
    </row>
    <row r="62" spans="1:40" x14ac:dyDescent="0.2">
      <c r="A62">
        <v>311397</v>
      </c>
      <c r="B62" t="s">
        <v>428</v>
      </c>
      <c r="C62" t="str">
        <f>"9780750680639"</f>
        <v>9780750680639</v>
      </c>
      <c r="D62" t="str">
        <f>"9780080550657"</f>
        <v>9780080550657</v>
      </c>
      <c r="E62" t="s">
        <v>301</v>
      </c>
      <c r="F62" t="s">
        <v>42</v>
      </c>
      <c r="G62" s="1">
        <v>39367</v>
      </c>
      <c r="H62" s="1">
        <v>39363</v>
      </c>
      <c r="I62" t="s">
        <v>43</v>
      </c>
      <c r="L62" t="s">
        <v>429</v>
      </c>
      <c r="M62" t="s">
        <v>430</v>
      </c>
      <c r="N62" t="s">
        <v>431</v>
      </c>
      <c r="O62">
        <v>355</v>
      </c>
      <c r="P62" t="s">
        <v>432</v>
      </c>
      <c r="Q62" t="s">
        <v>48</v>
      </c>
      <c r="R62" t="s">
        <v>49</v>
      </c>
      <c r="S62" t="s">
        <v>50</v>
      </c>
      <c r="T62" t="s">
        <v>50</v>
      </c>
      <c r="U62" t="s">
        <v>49</v>
      </c>
      <c r="V62" t="s">
        <v>49</v>
      </c>
      <c r="W62" t="s">
        <v>50</v>
      </c>
      <c r="X62" t="s">
        <v>49</v>
      </c>
      <c r="Y62" t="s">
        <v>50</v>
      </c>
      <c r="AA62">
        <v>156.25</v>
      </c>
      <c r="AB62">
        <v>125</v>
      </c>
      <c r="AC62">
        <v>187.5</v>
      </c>
      <c r="AD62" t="s">
        <v>49</v>
      </c>
      <c r="AE62">
        <v>10190280</v>
      </c>
      <c r="AF62">
        <v>105763</v>
      </c>
      <c r="AH62" t="s">
        <v>50</v>
      </c>
      <c r="AI62" t="s">
        <v>50</v>
      </c>
      <c r="AJ62" t="s">
        <v>51</v>
      </c>
      <c r="AK62" t="s">
        <v>50</v>
      </c>
      <c r="AM62" t="s">
        <v>49</v>
      </c>
      <c r="AN62" t="s">
        <v>433</v>
      </c>
    </row>
    <row r="63" spans="1:40" x14ac:dyDescent="0.2">
      <c r="A63">
        <v>312190</v>
      </c>
      <c r="B63" t="s">
        <v>434</v>
      </c>
      <c r="C63" t="str">
        <f>"9780470077825"</f>
        <v>9780470077825</v>
      </c>
      <c r="D63" t="str">
        <f>"9780470175828"</f>
        <v>9780470175828</v>
      </c>
      <c r="E63" t="s">
        <v>54</v>
      </c>
      <c r="F63" t="s">
        <v>168</v>
      </c>
      <c r="G63" s="1">
        <v>39294</v>
      </c>
      <c r="H63" s="1">
        <v>39368</v>
      </c>
      <c r="I63" t="s">
        <v>43</v>
      </c>
      <c r="J63">
        <v>1</v>
      </c>
      <c r="K63" t="s">
        <v>435</v>
      </c>
      <c r="L63" t="s">
        <v>364</v>
      </c>
      <c r="M63" t="s">
        <v>171</v>
      </c>
      <c r="N63" t="s">
        <v>436</v>
      </c>
      <c r="O63">
        <v>746.43200000000002</v>
      </c>
      <c r="P63" t="s">
        <v>437</v>
      </c>
      <c r="Q63" t="s">
        <v>48</v>
      </c>
      <c r="R63" t="s">
        <v>50</v>
      </c>
      <c r="S63" t="s">
        <v>50</v>
      </c>
      <c r="T63" t="s">
        <v>50</v>
      </c>
      <c r="U63" t="s">
        <v>49</v>
      </c>
      <c r="V63" t="s">
        <v>49</v>
      </c>
      <c r="W63" t="s">
        <v>50</v>
      </c>
      <c r="X63" t="s">
        <v>49</v>
      </c>
      <c r="Y63" t="s">
        <v>50</v>
      </c>
      <c r="Z63">
        <v>22.48</v>
      </c>
      <c r="AA63">
        <v>22.48</v>
      </c>
      <c r="AB63">
        <v>14.99</v>
      </c>
      <c r="AC63">
        <v>26.23</v>
      </c>
      <c r="AD63" t="s">
        <v>49</v>
      </c>
      <c r="AE63">
        <v>11194264</v>
      </c>
      <c r="AF63">
        <v>93538</v>
      </c>
      <c r="AH63" t="s">
        <v>50</v>
      </c>
      <c r="AI63" t="s">
        <v>50</v>
      </c>
      <c r="AJ63" t="s">
        <v>51</v>
      </c>
      <c r="AK63" t="s">
        <v>50</v>
      </c>
      <c r="AM63" t="s">
        <v>49</v>
      </c>
      <c r="AN63" t="s">
        <v>438</v>
      </c>
    </row>
    <row r="64" spans="1:40" x14ac:dyDescent="0.2">
      <c r="A64">
        <v>312204</v>
      </c>
      <c r="B64" t="s">
        <v>439</v>
      </c>
      <c r="C64" t="str">
        <f>"9780470149744"</f>
        <v>9780470149744</v>
      </c>
      <c r="D64" t="str">
        <f>"9780470228265"</f>
        <v>9780470228265</v>
      </c>
      <c r="E64" t="s">
        <v>54</v>
      </c>
      <c r="F64" t="s">
        <v>149</v>
      </c>
      <c r="G64" s="1">
        <v>39329</v>
      </c>
      <c r="H64" s="1">
        <v>39368</v>
      </c>
      <c r="I64" t="s">
        <v>43</v>
      </c>
      <c r="J64">
        <v>1</v>
      </c>
      <c r="K64" t="s">
        <v>149</v>
      </c>
      <c r="L64" t="s">
        <v>200</v>
      </c>
      <c r="M64" t="s">
        <v>45</v>
      </c>
      <c r="N64" t="s">
        <v>440</v>
      </c>
      <c r="O64">
        <v>491.78342099999998</v>
      </c>
      <c r="P64" t="s">
        <v>441</v>
      </c>
      <c r="Q64" t="s">
        <v>48</v>
      </c>
      <c r="R64" t="s">
        <v>49</v>
      </c>
      <c r="S64" t="s">
        <v>50</v>
      </c>
      <c r="T64" t="s">
        <v>50</v>
      </c>
      <c r="U64" t="s">
        <v>49</v>
      </c>
      <c r="V64" t="s">
        <v>49</v>
      </c>
      <c r="W64" t="s">
        <v>50</v>
      </c>
      <c r="X64" t="s">
        <v>49</v>
      </c>
      <c r="Y64" t="s">
        <v>50</v>
      </c>
      <c r="Z64">
        <v>14.98</v>
      </c>
      <c r="AA64">
        <v>14.98</v>
      </c>
      <c r="AB64">
        <v>9.99</v>
      </c>
      <c r="AC64">
        <v>17.48</v>
      </c>
      <c r="AD64" t="s">
        <v>49</v>
      </c>
      <c r="AE64">
        <v>10296610</v>
      </c>
      <c r="AF64">
        <v>95730</v>
      </c>
      <c r="AH64" t="s">
        <v>50</v>
      </c>
      <c r="AI64" t="s">
        <v>50</v>
      </c>
      <c r="AJ64" t="s">
        <v>51</v>
      </c>
      <c r="AK64" t="s">
        <v>50</v>
      </c>
      <c r="AM64" t="s">
        <v>49</v>
      </c>
      <c r="AN64" t="s">
        <v>442</v>
      </c>
    </row>
    <row r="65" spans="1:40" x14ac:dyDescent="0.2">
      <c r="A65">
        <v>315174</v>
      </c>
      <c r="B65" t="s">
        <v>443</v>
      </c>
      <c r="C65" t="str">
        <f>"9780470101506"</f>
        <v>9780470101506</v>
      </c>
      <c r="D65" t="str">
        <f>"9780470179024"</f>
        <v>9780470179024</v>
      </c>
      <c r="E65" t="s">
        <v>54</v>
      </c>
      <c r="F65" t="s">
        <v>168</v>
      </c>
      <c r="G65" s="1">
        <v>39363</v>
      </c>
      <c r="H65" s="1">
        <v>40170</v>
      </c>
      <c r="I65" t="s">
        <v>43</v>
      </c>
      <c r="J65">
        <v>1</v>
      </c>
      <c r="K65" t="s">
        <v>363</v>
      </c>
      <c r="L65" t="s">
        <v>444</v>
      </c>
      <c r="M65" t="s">
        <v>171</v>
      </c>
      <c r="N65" t="s">
        <v>445</v>
      </c>
      <c r="O65">
        <v>739.27</v>
      </c>
      <c r="P65" t="s">
        <v>446</v>
      </c>
      <c r="Q65" t="s">
        <v>48</v>
      </c>
      <c r="R65" t="s">
        <v>49</v>
      </c>
      <c r="S65" t="s">
        <v>50</v>
      </c>
      <c r="T65" t="s">
        <v>50</v>
      </c>
      <c r="U65" t="s">
        <v>49</v>
      </c>
      <c r="V65" t="s">
        <v>49</v>
      </c>
      <c r="W65" t="s">
        <v>50</v>
      </c>
      <c r="X65" t="s">
        <v>49</v>
      </c>
      <c r="Y65" t="s">
        <v>50</v>
      </c>
      <c r="Z65">
        <v>44.98</v>
      </c>
      <c r="AA65">
        <v>44.98</v>
      </c>
      <c r="AB65">
        <v>29.99</v>
      </c>
      <c r="AC65">
        <v>52.48</v>
      </c>
      <c r="AD65" t="s">
        <v>49</v>
      </c>
      <c r="AE65">
        <v>10639292</v>
      </c>
      <c r="AF65">
        <v>97428</v>
      </c>
      <c r="AH65" t="s">
        <v>50</v>
      </c>
      <c r="AI65" t="s">
        <v>50</v>
      </c>
      <c r="AJ65" t="s">
        <v>51</v>
      </c>
      <c r="AK65" t="s">
        <v>50</v>
      </c>
      <c r="AM65" t="s">
        <v>49</v>
      </c>
      <c r="AN65" t="s">
        <v>447</v>
      </c>
    </row>
    <row r="66" spans="1:40" x14ac:dyDescent="0.2">
      <c r="A66">
        <v>324852</v>
      </c>
      <c r="B66" t="s">
        <v>448</v>
      </c>
      <c r="C66" t="str">
        <f>"9780415772150"</f>
        <v>9780415772150</v>
      </c>
      <c r="D66" t="str">
        <f>"9780203945568"</f>
        <v>9780203945568</v>
      </c>
      <c r="E66" t="s">
        <v>41</v>
      </c>
      <c r="F66" t="s">
        <v>42</v>
      </c>
      <c r="G66" s="1">
        <v>39332</v>
      </c>
      <c r="H66" s="1">
        <v>39480</v>
      </c>
      <c r="I66" t="s">
        <v>43</v>
      </c>
      <c r="J66">
        <v>1</v>
      </c>
      <c r="K66" t="s">
        <v>449</v>
      </c>
      <c r="L66" t="s">
        <v>450</v>
      </c>
      <c r="M66" t="s">
        <v>45</v>
      </c>
      <c r="N66" t="s">
        <v>451</v>
      </c>
      <c r="O66">
        <v>492.75</v>
      </c>
      <c r="P66" t="s">
        <v>452</v>
      </c>
      <c r="Q66" t="s">
        <v>48</v>
      </c>
      <c r="R66" t="s">
        <v>49</v>
      </c>
      <c r="S66" t="s">
        <v>50</v>
      </c>
      <c r="T66" t="s">
        <v>50</v>
      </c>
      <c r="U66" t="s">
        <v>49</v>
      </c>
      <c r="V66" t="s">
        <v>49</v>
      </c>
      <c r="W66" t="s">
        <v>50</v>
      </c>
      <c r="X66" t="s">
        <v>49</v>
      </c>
      <c r="Y66" t="s">
        <v>50</v>
      </c>
      <c r="AA66">
        <v>250</v>
      </c>
      <c r="AB66">
        <v>200</v>
      </c>
      <c r="AC66">
        <v>300</v>
      </c>
      <c r="AD66" t="s">
        <v>49</v>
      </c>
      <c r="AE66">
        <v>10189492</v>
      </c>
      <c r="AF66">
        <v>94347</v>
      </c>
      <c r="AH66" t="s">
        <v>50</v>
      </c>
      <c r="AI66" t="s">
        <v>50</v>
      </c>
      <c r="AJ66" t="s">
        <v>51</v>
      </c>
      <c r="AK66" t="s">
        <v>50</v>
      </c>
      <c r="AM66" t="s">
        <v>49</v>
      </c>
      <c r="AN66" t="s">
        <v>453</v>
      </c>
    </row>
    <row r="67" spans="1:40" x14ac:dyDescent="0.2">
      <c r="A67">
        <v>324931</v>
      </c>
      <c r="B67" t="s">
        <v>454</v>
      </c>
      <c r="C67" t="str">
        <f>"9780415420938"</f>
        <v>9780415420938</v>
      </c>
      <c r="D67" t="str">
        <f>"9780203960875"</f>
        <v>9780203960875</v>
      </c>
      <c r="E67" t="s">
        <v>41</v>
      </c>
      <c r="F67" t="s">
        <v>42</v>
      </c>
      <c r="G67" s="1">
        <v>39350</v>
      </c>
      <c r="H67" s="1">
        <v>39475</v>
      </c>
      <c r="I67" t="s">
        <v>43</v>
      </c>
      <c r="J67">
        <v>1</v>
      </c>
      <c r="L67" t="s">
        <v>455</v>
      </c>
      <c r="M67" t="s">
        <v>45</v>
      </c>
      <c r="N67" t="s">
        <v>456</v>
      </c>
      <c r="O67">
        <v>492.7321</v>
      </c>
      <c r="P67" t="s">
        <v>457</v>
      </c>
      <c r="Q67" t="s">
        <v>48</v>
      </c>
      <c r="R67" t="s">
        <v>49</v>
      </c>
      <c r="S67" t="s">
        <v>50</v>
      </c>
      <c r="T67" t="s">
        <v>50</v>
      </c>
      <c r="U67" t="s">
        <v>49</v>
      </c>
      <c r="V67" t="s">
        <v>49</v>
      </c>
      <c r="W67" t="s">
        <v>50</v>
      </c>
      <c r="X67" t="s">
        <v>49</v>
      </c>
      <c r="Y67" t="s">
        <v>50</v>
      </c>
      <c r="AA67">
        <v>225</v>
      </c>
      <c r="AB67">
        <v>180</v>
      </c>
      <c r="AC67">
        <v>270</v>
      </c>
      <c r="AD67" t="s">
        <v>49</v>
      </c>
      <c r="AE67">
        <v>10204770</v>
      </c>
      <c r="AF67">
        <v>97104</v>
      </c>
      <c r="AH67" t="s">
        <v>50</v>
      </c>
      <c r="AI67" t="s">
        <v>50</v>
      </c>
      <c r="AJ67" t="s">
        <v>51</v>
      </c>
      <c r="AK67" t="s">
        <v>50</v>
      </c>
      <c r="AM67" t="s">
        <v>49</v>
      </c>
      <c r="AN67" t="s">
        <v>458</v>
      </c>
    </row>
    <row r="68" spans="1:40" x14ac:dyDescent="0.2">
      <c r="A68">
        <v>325125</v>
      </c>
      <c r="B68" t="s">
        <v>459</v>
      </c>
      <c r="C68" t="str">
        <f>"9780415366502"</f>
        <v>9780415366502</v>
      </c>
      <c r="D68" t="str">
        <f>"9780203019177"</f>
        <v>9780203019177</v>
      </c>
      <c r="E68" t="s">
        <v>42</v>
      </c>
      <c r="F68" t="s">
        <v>42</v>
      </c>
      <c r="G68" s="1">
        <v>39430</v>
      </c>
      <c r="H68" s="1">
        <v>39471</v>
      </c>
      <c r="I68" t="s">
        <v>43</v>
      </c>
      <c r="J68">
        <v>2</v>
      </c>
      <c r="K68" t="s">
        <v>460</v>
      </c>
      <c r="L68" t="s">
        <v>461</v>
      </c>
      <c r="M68" t="s">
        <v>275</v>
      </c>
      <c r="N68" t="s">
        <v>462</v>
      </c>
      <c r="O68">
        <v>907.2</v>
      </c>
      <c r="P68" t="s">
        <v>463</v>
      </c>
      <c r="Q68" t="s">
        <v>48</v>
      </c>
      <c r="R68" t="s">
        <v>50</v>
      </c>
      <c r="S68" t="s">
        <v>50</v>
      </c>
      <c r="T68" t="s">
        <v>50</v>
      </c>
      <c r="U68" t="s">
        <v>49</v>
      </c>
      <c r="V68" t="s">
        <v>49</v>
      </c>
      <c r="W68" t="s">
        <v>50</v>
      </c>
      <c r="X68" t="s">
        <v>49</v>
      </c>
      <c r="Y68" t="s">
        <v>50</v>
      </c>
      <c r="Z68">
        <v>157.5</v>
      </c>
      <c r="AA68">
        <v>131.25</v>
      </c>
      <c r="AB68">
        <v>105</v>
      </c>
      <c r="AC68">
        <v>157.5</v>
      </c>
      <c r="AD68" t="s">
        <v>49</v>
      </c>
      <c r="AE68">
        <v>10205581</v>
      </c>
      <c r="AF68">
        <v>106183</v>
      </c>
      <c r="AH68" t="s">
        <v>50</v>
      </c>
      <c r="AI68" t="s">
        <v>50</v>
      </c>
      <c r="AJ68" t="s">
        <v>51</v>
      </c>
      <c r="AK68" t="s">
        <v>50</v>
      </c>
      <c r="AM68" t="s">
        <v>49</v>
      </c>
      <c r="AN68" t="s">
        <v>464</v>
      </c>
    </row>
    <row r="69" spans="1:40" x14ac:dyDescent="0.2">
      <c r="A69">
        <v>325301</v>
      </c>
      <c r="B69" t="s">
        <v>465</v>
      </c>
      <c r="C69" t="str">
        <f>"9780415419963"</f>
        <v>9780415419963</v>
      </c>
      <c r="D69" t="str">
        <f>"9780203937631"</f>
        <v>9780203937631</v>
      </c>
      <c r="E69" t="s">
        <v>41</v>
      </c>
      <c r="F69" t="s">
        <v>42</v>
      </c>
      <c r="G69" s="1">
        <v>39435</v>
      </c>
      <c r="H69" s="1">
        <v>39471</v>
      </c>
      <c r="I69" t="s">
        <v>43</v>
      </c>
      <c r="J69">
        <v>1</v>
      </c>
      <c r="K69" t="s">
        <v>466</v>
      </c>
      <c r="L69" t="s">
        <v>467</v>
      </c>
      <c r="M69" t="s">
        <v>45</v>
      </c>
      <c r="N69" t="s">
        <v>468</v>
      </c>
      <c r="O69">
        <v>469.3</v>
      </c>
      <c r="P69" t="s">
        <v>469</v>
      </c>
      <c r="Q69" t="s">
        <v>48</v>
      </c>
      <c r="R69" t="s">
        <v>49</v>
      </c>
      <c r="S69" t="s">
        <v>50</v>
      </c>
      <c r="T69" t="s">
        <v>50</v>
      </c>
      <c r="U69" t="s">
        <v>49</v>
      </c>
      <c r="V69" t="s">
        <v>49</v>
      </c>
      <c r="W69" t="s">
        <v>50</v>
      </c>
      <c r="X69" t="s">
        <v>49</v>
      </c>
      <c r="Y69" t="s">
        <v>50</v>
      </c>
      <c r="AA69">
        <v>225</v>
      </c>
      <c r="AB69">
        <v>180</v>
      </c>
      <c r="AC69">
        <v>270</v>
      </c>
      <c r="AD69" t="s">
        <v>49</v>
      </c>
      <c r="AE69">
        <v>10205527</v>
      </c>
      <c r="AF69">
        <v>106352</v>
      </c>
      <c r="AH69" t="s">
        <v>50</v>
      </c>
      <c r="AI69" t="s">
        <v>50</v>
      </c>
      <c r="AJ69" t="s">
        <v>51</v>
      </c>
      <c r="AK69" t="s">
        <v>50</v>
      </c>
      <c r="AM69" t="s">
        <v>49</v>
      </c>
      <c r="AN69" t="s">
        <v>470</v>
      </c>
    </row>
    <row r="70" spans="1:40" x14ac:dyDescent="0.2">
      <c r="A70">
        <v>328329</v>
      </c>
      <c r="B70" t="s">
        <v>471</v>
      </c>
      <c r="C70" t="str">
        <f>"9780750684729"</f>
        <v>9780750684729</v>
      </c>
      <c r="D70" t="str">
        <f>"9780080555997"</f>
        <v>9780080555997</v>
      </c>
      <c r="E70" t="s">
        <v>472</v>
      </c>
      <c r="F70" t="s">
        <v>473</v>
      </c>
      <c r="G70" s="1">
        <v>39423</v>
      </c>
      <c r="H70" s="1">
        <v>39499</v>
      </c>
      <c r="I70" t="s">
        <v>43</v>
      </c>
      <c r="L70" t="s">
        <v>474</v>
      </c>
      <c r="M70" t="s">
        <v>58</v>
      </c>
      <c r="N70" t="s">
        <v>475</v>
      </c>
      <c r="O70">
        <v>658.404</v>
      </c>
      <c r="P70" t="s">
        <v>476</v>
      </c>
      <c r="Q70" t="s">
        <v>48</v>
      </c>
      <c r="R70" t="s">
        <v>49</v>
      </c>
      <c r="S70" t="s">
        <v>50</v>
      </c>
      <c r="T70" t="s">
        <v>50</v>
      </c>
      <c r="U70" t="s">
        <v>49</v>
      </c>
      <c r="V70" t="s">
        <v>49</v>
      </c>
      <c r="W70" t="s">
        <v>50</v>
      </c>
      <c r="X70" t="s">
        <v>49</v>
      </c>
      <c r="Y70" t="s">
        <v>50</v>
      </c>
      <c r="Z70">
        <v>116.91</v>
      </c>
      <c r="AA70">
        <v>97.42</v>
      </c>
      <c r="AB70">
        <v>77.94</v>
      </c>
      <c r="AC70">
        <v>116.91</v>
      </c>
      <c r="AD70" t="s">
        <v>49</v>
      </c>
      <c r="AE70">
        <v>10204357</v>
      </c>
      <c r="AF70">
        <v>109634</v>
      </c>
      <c r="AH70" t="s">
        <v>49</v>
      </c>
      <c r="AI70" t="s">
        <v>50</v>
      </c>
      <c r="AJ70" t="s">
        <v>51</v>
      </c>
      <c r="AK70" t="s">
        <v>50</v>
      </c>
      <c r="AM70" t="s">
        <v>49</v>
      </c>
      <c r="AN70" t="s">
        <v>477</v>
      </c>
    </row>
    <row r="71" spans="1:40" x14ac:dyDescent="0.2">
      <c r="A71">
        <v>329091</v>
      </c>
      <c r="B71" t="s">
        <v>478</v>
      </c>
      <c r="C71" t="str">
        <f>"9780313335631"</f>
        <v>9780313335631</v>
      </c>
      <c r="D71" t="str">
        <f>"9780313054006"</f>
        <v>9780313054006</v>
      </c>
      <c r="E71" t="s">
        <v>479</v>
      </c>
      <c r="F71" t="s">
        <v>479</v>
      </c>
      <c r="G71" s="1">
        <v>39446</v>
      </c>
      <c r="H71" s="1">
        <v>39502</v>
      </c>
      <c r="I71" t="s">
        <v>43</v>
      </c>
      <c r="L71" t="s">
        <v>480</v>
      </c>
      <c r="M71" t="s">
        <v>91</v>
      </c>
      <c r="N71" t="s">
        <v>481</v>
      </c>
      <c r="O71">
        <v>977</v>
      </c>
      <c r="P71" t="s">
        <v>482</v>
      </c>
      <c r="Q71" t="s">
        <v>48</v>
      </c>
      <c r="R71" t="s">
        <v>49</v>
      </c>
      <c r="S71" t="s">
        <v>50</v>
      </c>
      <c r="T71" t="s">
        <v>50</v>
      </c>
      <c r="U71" t="s">
        <v>49</v>
      </c>
      <c r="V71" t="s">
        <v>49</v>
      </c>
      <c r="W71" t="s">
        <v>50</v>
      </c>
      <c r="X71" t="s">
        <v>49</v>
      </c>
      <c r="Y71" t="s">
        <v>50</v>
      </c>
      <c r="Z71">
        <v>96.25</v>
      </c>
      <c r="AA71">
        <v>82.5</v>
      </c>
      <c r="AB71">
        <v>55</v>
      </c>
      <c r="AC71">
        <v>110</v>
      </c>
      <c r="AD71" t="s">
        <v>49</v>
      </c>
      <c r="AE71">
        <v>10214132</v>
      </c>
      <c r="AF71">
        <v>110672</v>
      </c>
      <c r="AH71" t="s">
        <v>50</v>
      </c>
      <c r="AI71" t="s">
        <v>50</v>
      </c>
      <c r="AJ71" t="s">
        <v>51</v>
      </c>
      <c r="AK71" t="s">
        <v>50</v>
      </c>
      <c r="AM71" t="s">
        <v>49</v>
      </c>
      <c r="AN71" t="s">
        <v>483</v>
      </c>
    </row>
    <row r="72" spans="1:40" x14ac:dyDescent="0.2">
      <c r="A72">
        <v>329113</v>
      </c>
      <c r="B72" t="s">
        <v>484</v>
      </c>
      <c r="C72" t="str">
        <f>"9780313336980"</f>
        <v>9780313336980</v>
      </c>
      <c r="D72" t="str">
        <f>"9780313065354"</f>
        <v>9780313065354</v>
      </c>
      <c r="E72" t="s">
        <v>479</v>
      </c>
      <c r="F72" t="s">
        <v>479</v>
      </c>
      <c r="G72" s="1">
        <v>39446</v>
      </c>
      <c r="H72" s="1">
        <v>39502</v>
      </c>
      <c r="I72" t="s">
        <v>43</v>
      </c>
      <c r="L72" t="s">
        <v>485</v>
      </c>
      <c r="M72" t="s">
        <v>486</v>
      </c>
      <c r="N72" t="s">
        <v>487</v>
      </c>
      <c r="O72" t="s">
        <v>488</v>
      </c>
      <c r="P72" t="s">
        <v>489</v>
      </c>
      <c r="Q72" t="s">
        <v>48</v>
      </c>
      <c r="R72" t="s">
        <v>49</v>
      </c>
      <c r="S72" t="s">
        <v>50</v>
      </c>
      <c r="T72" t="s">
        <v>50</v>
      </c>
      <c r="U72" t="s">
        <v>49</v>
      </c>
      <c r="V72" t="s">
        <v>49</v>
      </c>
      <c r="W72" t="s">
        <v>50</v>
      </c>
      <c r="X72" t="s">
        <v>49</v>
      </c>
      <c r="Y72" t="s">
        <v>50</v>
      </c>
      <c r="Z72">
        <v>131.25</v>
      </c>
      <c r="AA72">
        <v>112.5</v>
      </c>
      <c r="AB72">
        <v>75</v>
      </c>
      <c r="AC72">
        <v>150</v>
      </c>
      <c r="AD72" t="s">
        <v>49</v>
      </c>
      <c r="AE72">
        <v>10213968</v>
      </c>
      <c r="AF72">
        <v>120266</v>
      </c>
      <c r="AH72" t="s">
        <v>50</v>
      </c>
      <c r="AI72" t="s">
        <v>50</v>
      </c>
      <c r="AJ72" t="s">
        <v>51</v>
      </c>
      <c r="AK72" t="s">
        <v>50</v>
      </c>
      <c r="AM72" t="s">
        <v>49</v>
      </c>
      <c r="AN72" t="s">
        <v>490</v>
      </c>
    </row>
    <row r="73" spans="1:40" x14ac:dyDescent="0.2">
      <c r="A73">
        <v>329148</v>
      </c>
      <c r="B73" t="s">
        <v>491</v>
      </c>
      <c r="C73" t="str">
        <f>"9780313348143"</f>
        <v>9780313348143</v>
      </c>
      <c r="D73" t="str">
        <f>"9780313348150"</f>
        <v>9780313348150</v>
      </c>
      <c r="E73" t="s">
        <v>384</v>
      </c>
      <c r="F73" t="s">
        <v>492</v>
      </c>
      <c r="G73" s="1">
        <v>39416</v>
      </c>
      <c r="H73" s="1">
        <v>39502</v>
      </c>
      <c r="I73" t="s">
        <v>43</v>
      </c>
      <c r="L73" t="s">
        <v>493</v>
      </c>
      <c r="M73" t="s">
        <v>91</v>
      </c>
      <c r="N73" t="s">
        <v>494</v>
      </c>
      <c r="O73">
        <v>920.02</v>
      </c>
      <c r="P73" t="s">
        <v>495</v>
      </c>
      <c r="Q73" t="s">
        <v>48</v>
      </c>
      <c r="R73" t="s">
        <v>49</v>
      </c>
      <c r="S73" t="s">
        <v>50</v>
      </c>
      <c r="T73" t="s">
        <v>50</v>
      </c>
      <c r="U73" t="s">
        <v>49</v>
      </c>
      <c r="V73" t="s">
        <v>49</v>
      </c>
      <c r="W73" t="s">
        <v>50</v>
      </c>
      <c r="X73" t="s">
        <v>49</v>
      </c>
      <c r="Y73" t="s">
        <v>50</v>
      </c>
      <c r="Z73">
        <v>106.75</v>
      </c>
      <c r="AA73">
        <v>91.5</v>
      </c>
      <c r="AB73">
        <v>61</v>
      </c>
      <c r="AC73">
        <v>122</v>
      </c>
      <c r="AD73" t="s">
        <v>49</v>
      </c>
      <c r="AE73">
        <v>10214091</v>
      </c>
      <c r="AF73">
        <v>110691</v>
      </c>
      <c r="AH73" t="s">
        <v>50</v>
      </c>
      <c r="AI73" t="s">
        <v>50</v>
      </c>
      <c r="AJ73" t="s">
        <v>51</v>
      </c>
      <c r="AK73" t="s">
        <v>50</v>
      </c>
      <c r="AM73" t="s">
        <v>49</v>
      </c>
      <c r="AN73" t="s">
        <v>496</v>
      </c>
    </row>
    <row r="74" spans="1:40" x14ac:dyDescent="0.2">
      <c r="A74">
        <v>329204</v>
      </c>
      <c r="B74" t="s">
        <v>497</v>
      </c>
      <c r="C74" t="str">
        <f>"9780313338755"</f>
        <v>9780313338755</v>
      </c>
      <c r="D74" t="str">
        <f>"9780313083372"</f>
        <v>9780313083372</v>
      </c>
      <c r="E74" t="s">
        <v>384</v>
      </c>
      <c r="F74" t="s">
        <v>492</v>
      </c>
      <c r="G74" s="1">
        <v>39446</v>
      </c>
      <c r="H74" s="1">
        <v>39502</v>
      </c>
      <c r="I74" t="s">
        <v>43</v>
      </c>
      <c r="K74" t="s">
        <v>498</v>
      </c>
      <c r="L74" t="s">
        <v>499</v>
      </c>
      <c r="M74" t="s">
        <v>91</v>
      </c>
      <c r="N74" t="s">
        <v>500</v>
      </c>
      <c r="O74">
        <v>973</v>
      </c>
      <c r="P74" t="s">
        <v>501</v>
      </c>
      <c r="Q74" t="s">
        <v>48</v>
      </c>
      <c r="R74" t="s">
        <v>49</v>
      </c>
      <c r="S74" t="s">
        <v>50</v>
      </c>
      <c r="T74" t="s">
        <v>50</v>
      </c>
      <c r="U74" t="s">
        <v>49</v>
      </c>
      <c r="V74" t="s">
        <v>49</v>
      </c>
      <c r="W74" t="s">
        <v>50</v>
      </c>
      <c r="X74" t="s">
        <v>49</v>
      </c>
      <c r="Y74" t="s">
        <v>50</v>
      </c>
      <c r="Z74">
        <v>183.75</v>
      </c>
      <c r="AA74">
        <v>157.5</v>
      </c>
      <c r="AB74">
        <v>105</v>
      </c>
      <c r="AC74">
        <v>210</v>
      </c>
      <c r="AD74" t="s">
        <v>49</v>
      </c>
      <c r="AE74">
        <v>10214029</v>
      </c>
      <c r="AF74">
        <v>120265</v>
      </c>
      <c r="AH74" t="s">
        <v>50</v>
      </c>
      <c r="AI74" t="s">
        <v>50</v>
      </c>
      <c r="AJ74" t="s">
        <v>51</v>
      </c>
      <c r="AK74" t="s">
        <v>50</v>
      </c>
      <c r="AM74" t="s">
        <v>49</v>
      </c>
      <c r="AN74" t="s">
        <v>502</v>
      </c>
    </row>
    <row r="75" spans="1:40" x14ac:dyDescent="0.2">
      <c r="A75">
        <v>329206</v>
      </c>
      <c r="B75" t="s">
        <v>503</v>
      </c>
      <c r="C75" t="str">
        <f>"9780313334047"</f>
        <v>9780313334047</v>
      </c>
      <c r="D75" t="str">
        <f>"9780313043413"</f>
        <v>9780313043413</v>
      </c>
      <c r="E75" t="s">
        <v>479</v>
      </c>
      <c r="F75" t="s">
        <v>479</v>
      </c>
      <c r="G75" s="1">
        <v>39416</v>
      </c>
      <c r="H75" s="1">
        <v>39502</v>
      </c>
      <c r="I75" t="s">
        <v>43</v>
      </c>
      <c r="L75" t="s">
        <v>504</v>
      </c>
      <c r="M75" t="s">
        <v>220</v>
      </c>
      <c r="N75" t="s">
        <v>505</v>
      </c>
      <c r="O75">
        <v>909.81029999999998</v>
      </c>
      <c r="P75" t="s">
        <v>506</v>
      </c>
      <c r="Q75" t="s">
        <v>48</v>
      </c>
      <c r="R75" t="s">
        <v>49</v>
      </c>
      <c r="S75" t="s">
        <v>50</v>
      </c>
      <c r="T75" t="s">
        <v>50</v>
      </c>
      <c r="U75" t="s">
        <v>49</v>
      </c>
      <c r="V75" t="s">
        <v>49</v>
      </c>
      <c r="W75" t="s">
        <v>50</v>
      </c>
      <c r="X75" t="s">
        <v>49</v>
      </c>
      <c r="Y75" t="s">
        <v>50</v>
      </c>
      <c r="Z75">
        <v>334.25</v>
      </c>
      <c r="AA75">
        <v>286.5</v>
      </c>
      <c r="AB75">
        <v>191</v>
      </c>
      <c r="AC75">
        <v>382</v>
      </c>
      <c r="AD75" t="s">
        <v>49</v>
      </c>
      <c r="AE75">
        <v>10214036</v>
      </c>
      <c r="AF75">
        <v>120276</v>
      </c>
      <c r="AH75" t="s">
        <v>50</v>
      </c>
      <c r="AI75" t="s">
        <v>50</v>
      </c>
      <c r="AJ75" t="s">
        <v>51</v>
      </c>
      <c r="AK75" t="s">
        <v>50</v>
      </c>
      <c r="AM75" t="s">
        <v>49</v>
      </c>
      <c r="AN75" t="s">
        <v>507</v>
      </c>
    </row>
    <row r="76" spans="1:40" x14ac:dyDescent="0.2">
      <c r="A76">
        <v>329219</v>
      </c>
      <c r="B76" t="s">
        <v>508</v>
      </c>
      <c r="C76" t="str">
        <f>"9780313334023"</f>
        <v>9780313334023</v>
      </c>
      <c r="D76" t="str">
        <f>"9780313348914"</f>
        <v>9780313348914</v>
      </c>
      <c r="E76" t="s">
        <v>384</v>
      </c>
      <c r="F76" t="s">
        <v>492</v>
      </c>
      <c r="G76" s="1">
        <v>39416</v>
      </c>
      <c r="H76" s="1">
        <v>39502</v>
      </c>
      <c r="I76" t="s">
        <v>43</v>
      </c>
      <c r="L76" t="s">
        <v>509</v>
      </c>
      <c r="M76" t="s">
        <v>510</v>
      </c>
      <c r="N76" t="s">
        <v>511</v>
      </c>
      <c r="O76">
        <v>701.17</v>
      </c>
      <c r="P76" t="s">
        <v>512</v>
      </c>
      <c r="Q76" t="s">
        <v>48</v>
      </c>
      <c r="R76" t="s">
        <v>49</v>
      </c>
      <c r="S76" t="s">
        <v>50</v>
      </c>
      <c r="T76" t="s">
        <v>50</v>
      </c>
      <c r="U76" t="s">
        <v>49</v>
      </c>
      <c r="V76" t="s">
        <v>49</v>
      </c>
      <c r="W76" t="s">
        <v>50</v>
      </c>
      <c r="X76" t="s">
        <v>49</v>
      </c>
      <c r="Y76" t="s">
        <v>50</v>
      </c>
      <c r="Z76">
        <v>164.5</v>
      </c>
      <c r="AA76">
        <v>141</v>
      </c>
      <c r="AB76">
        <v>94</v>
      </c>
      <c r="AC76">
        <v>188</v>
      </c>
      <c r="AD76" t="s">
        <v>49</v>
      </c>
      <c r="AE76">
        <v>10213973</v>
      </c>
      <c r="AF76">
        <v>120275</v>
      </c>
      <c r="AH76" t="s">
        <v>50</v>
      </c>
      <c r="AI76" t="s">
        <v>50</v>
      </c>
      <c r="AJ76" t="s">
        <v>51</v>
      </c>
      <c r="AK76" t="s">
        <v>50</v>
      </c>
      <c r="AM76" t="s">
        <v>49</v>
      </c>
      <c r="AN76" t="s">
        <v>513</v>
      </c>
    </row>
    <row r="77" spans="1:40" x14ac:dyDescent="0.2">
      <c r="A77">
        <v>329243</v>
      </c>
      <c r="B77" t="s">
        <v>514</v>
      </c>
      <c r="C77" t="str">
        <f>"9780313334450"</f>
        <v>9780313334450</v>
      </c>
      <c r="D77" t="str">
        <f>"9780313049514"</f>
        <v>9780313049514</v>
      </c>
      <c r="E77" t="s">
        <v>479</v>
      </c>
      <c r="F77" t="s">
        <v>479</v>
      </c>
      <c r="G77" s="1">
        <v>39446</v>
      </c>
      <c r="H77" s="1">
        <v>39502</v>
      </c>
      <c r="I77" t="s">
        <v>43</v>
      </c>
      <c r="L77" t="s">
        <v>515</v>
      </c>
      <c r="M77" t="s">
        <v>275</v>
      </c>
      <c r="N77" t="s">
        <v>516</v>
      </c>
      <c r="O77">
        <v>909.70299999999997</v>
      </c>
      <c r="P77" t="s">
        <v>517</v>
      </c>
      <c r="Q77" t="s">
        <v>48</v>
      </c>
      <c r="R77" t="s">
        <v>49</v>
      </c>
      <c r="S77" t="s">
        <v>50</v>
      </c>
      <c r="T77" t="s">
        <v>50</v>
      </c>
      <c r="U77" t="s">
        <v>49</v>
      </c>
      <c r="V77" t="s">
        <v>49</v>
      </c>
      <c r="W77" t="s">
        <v>50</v>
      </c>
      <c r="X77" t="s">
        <v>49</v>
      </c>
      <c r="Y77" t="s">
        <v>50</v>
      </c>
      <c r="Z77">
        <v>334.25</v>
      </c>
      <c r="AA77">
        <v>286.5</v>
      </c>
      <c r="AB77">
        <v>191</v>
      </c>
      <c r="AC77">
        <v>382</v>
      </c>
      <c r="AD77" t="s">
        <v>49</v>
      </c>
      <c r="AE77">
        <v>10214055</v>
      </c>
      <c r="AF77">
        <v>115225</v>
      </c>
      <c r="AH77" t="s">
        <v>50</v>
      </c>
      <c r="AI77" t="s">
        <v>50</v>
      </c>
      <c r="AJ77" t="s">
        <v>51</v>
      </c>
      <c r="AK77" t="s">
        <v>50</v>
      </c>
      <c r="AM77" t="s">
        <v>49</v>
      </c>
      <c r="AN77" t="s">
        <v>518</v>
      </c>
    </row>
    <row r="78" spans="1:40" x14ac:dyDescent="0.2">
      <c r="A78">
        <v>330987</v>
      </c>
      <c r="B78" t="s">
        <v>519</v>
      </c>
      <c r="C78" t="str">
        <f>"9780415773188"</f>
        <v>9780415773188</v>
      </c>
      <c r="D78" t="str">
        <f>"9780203931073"</f>
        <v>9780203931073</v>
      </c>
      <c r="E78" t="s">
        <v>41</v>
      </c>
      <c r="F78" t="s">
        <v>42</v>
      </c>
      <c r="G78" s="1">
        <v>39448</v>
      </c>
      <c r="H78" s="1">
        <v>39583</v>
      </c>
      <c r="I78" t="s">
        <v>43</v>
      </c>
      <c r="J78">
        <v>1</v>
      </c>
      <c r="L78" t="s">
        <v>520</v>
      </c>
      <c r="M78" t="s">
        <v>171</v>
      </c>
      <c r="N78" t="s">
        <v>521</v>
      </c>
      <c r="O78">
        <v>792.6028</v>
      </c>
      <c r="P78" t="s">
        <v>522</v>
      </c>
      <c r="Q78" t="s">
        <v>48</v>
      </c>
      <c r="R78" t="s">
        <v>50</v>
      </c>
      <c r="S78" t="s">
        <v>50</v>
      </c>
      <c r="T78" t="s">
        <v>50</v>
      </c>
      <c r="U78" t="s">
        <v>49</v>
      </c>
      <c r="V78" t="s">
        <v>49</v>
      </c>
      <c r="W78" t="s">
        <v>50</v>
      </c>
      <c r="X78" t="s">
        <v>49</v>
      </c>
      <c r="Y78" t="s">
        <v>50</v>
      </c>
      <c r="Z78">
        <v>187.5</v>
      </c>
      <c r="AA78">
        <v>156.25</v>
      </c>
      <c r="AB78">
        <v>125</v>
      </c>
      <c r="AD78" t="s">
        <v>49</v>
      </c>
      <c r="AE78">
        <v>10228426</v>
      </c>
      <c r="AF78">
        <v>131348</v>
      </c>
      <c r="AH78" t="s">
        <v>50</v>
      </c>
      <c r="AI78" t="s">
        <v>50</v>
      </c>
      <c r="AJ78" t="s">
        <v>51</v>
      </c>
      <c r="AK78" t="s">
        <v>50</v>
      </c>
      <c r="AM78" t="s">
        <v>49</v>
      </c>
      <c r="AN78" t="s">
        <v>523</v>
      </c>
    </row>
    <row r="79" spans="1:40" x14ac:dyDescent="0.2">
      <c r="A79">
        <v>331381</v>
      </c>
      <c r="B79" t="s">
        <v>524</v>
      </c>
      <c r="C79" t="str">
        <f>"9780470101490"</f>
        <v>9780470101490</v>
      </c>
      <c r="D79" t="str">
        <f>"9780470179567"</f>
        <v>9780470179567</v>
      </c>
      <c r="E79" t="s">
        <v>54</v>
      </c>
      <c r="F79" t="s">
        <v>168</v>
      </c>
      <c r="G79" s="1">
        <v>39391</v>
      </c>
      <c r="H79" s="1">
        <v>39546</v>
      </c>
      <c r="I79" t="s">
        <v>43</v>
      </c>
      <c r="J79">
        <v>1</v>
      </c>
      <c r="K79" t="s">
        <v>363</v>
      </c>
      <c r="L79" t="s">
        <v>525</v>
      </c>
      <c r="M79" t="s">
        <v>171</v>
      </c>
      <c r="N79" t="s">
        <v>526</v>
      </c>
      <c r="O79" t="s">
        <v>527</v>
      </c>
      <c r="P79" t="s">
        <v>528</v>
      </c>
      <c r="Q79" t="s">
        <v>48</v>
      </c>
      <c r="R79" t="s">
        <v>49</v>
      </c>
      <c r="S79" t="s">
        <v>50</v>
      </c>
      <c r="T79" t="s">
        <v>50</v>
      </c>
      <c r="U79" t="s">
        <v>49</v>
      </c>
      <c r="V79" t="s">
        <v>49</v>
      </c>
      <c r="W79" t="s">
        <v>50</v>
      </c>
      <c r="X79" t="s">
        <v>49</v>
      </c>
      <c r="Y79" t="s">
        <v>50</v>
      </c>
      <c r="Z79">
        <v>37.479999999999997</v>
      </c>
      <c r="AA79">
        <v>37.479999999999997</v>
      </c>
      <c r="AB79">
        <v>24.99</v>
      </c>
      <c r="AC79">
        <v>43.73</v>
      </c>
      <c r="AD79" t="s">
        <v>49</v>
      </c>
      <c r="AE79">
        <v>10639300</v>
      </c>
      <c r="AF79">
        <v>113473</v>
      </c>
      <c r="AH79" t="s">
        <v>50</v>
      </c>
      <c r="AI79" t="s">
        <v>50</v>
      </c>
      <c r="AJ79" t="s">
        <v>51</v>
      </c>
      <c r="AK79" t="s">
        <v>50</v>
      </c>
      <c r="AM79" t="s">
        <v>49</v>
      </c>
      <c r="AN79" t="s">
        <v>529</v>
      </c>
    </row>
    <row r="80" spans="1:40" x14ac:dyDescent="0.2">
      <c r="A80">
        <v>331422</v>
      </c>
      <c r="B80" t="s">
        <v>530</v>
      </c>
      <c r="C80" t="str">
        <f>"9780470175330"</f>
        <v>9780470175330</v>
      </c>
      <c r="D80" t="str">
        <f>"9780470258538"</f>
        <v>9780470258538</v>
      </c>
      <c r="E80" t="s">
        <v>54</v>
      </c>
      <c r="F80" t="s">
        <v>149</v>
      </c>
      <c r="G80" s="1">
        <v>39414</v>
      </c>
      <c r="H80" s="1">
        <v>39546</v>
      </c>
      <c r="I80" t="s">
        <v>43</v>
      </c>
      <c r="J80">
        <v>1</v>
      </c>
      <c r="K80" t="s">
        <v>149</v>
      </c>
      <c r="L80" t="s">
        <v>531</v>
      </c>
      <c r="M80" t="s">
        <v>532</v>
      </c>
      <c r="N80" t="s">
        <v>533</v>
      </c>
      <c r="O80">
        <v>698.14</v>
      </c>
      <c r="P80" t="s">
        <v>534</v>
      </c>
      <c r="Q80" t="s">
        <v>48</v>
      </c>
      <c r="R80" t="s">
        <v>50</v>
      </c>
      <c r="S80" t="s">
        <v>50</v>
      </c>
      <c r="T80" t="s">
        <v>50</v>
      </c>
      <c r="U80" t="s">
        <v>49</v>
      </c>
      <c r="V80" t="s">
        <v>49</v>
      </c>
      <c r="W80" t="s">
        <v>50</v>
      </c>
      <c r="X80" t="s">
        <v>49</v>
      </c>
      <c r="Y80" t="s">
        <v>50</v>
      </c>
      <c r="Z80">
        <v>25.48</v>
      </c>
      <c r="AA80">
        <v>25.48</v>
      </c>
      <c r="AB80">
        <v>16.989999999999998</v>
      </c>
      <c r="AC80">
        <v>29.73</v>
      </c>
      <c r="AD80" t="s">
        <v>49</v>
      </c>
      <c r="AE80">
        <v>10278676</v>
      </c>
      <c r="AF80">
        <v>113514</v>
      </c>
      <c r="AH80" t="s">
        <v>50</v>
      </c>
      <c r="AI80" t="s">
        <v>50</v>
      </c>
      <c r="AJ80" t="s">
        <v>51</v>
      </c>
      <c r="AK80" t="s">
        <v>50</v>
      </c>
      <c r="AM80" t="s">
        <v>49</v>
      </c>
      <c r="AN80" t="s">
        <v>535</v>
      </c>
    </row>
    <row r="81" spans="1:40" x14ac:dyDescent="0.2">
      <c r="A81">
        <v>331470</v>
      </c>
      <c r="B81" t="s">
        <v>536</v>
      </c>
      <c r="C81" t="str">
        <f>"9780470067154"</f>
        <v>9780470067154</v>
      </c>
      <c r="D81" t="str">
        <f>"9780470228203"</f>
        <v>9780470228203</v>
      </c>
      <c r="E81" t="s">
        <v>54</v>
      </c>
      <c r="F81" t="s">
        <v>168</v>
      </c>
      <c r="G81" s="1">
        <v>39398</v>
      </c>
      <c r="H81" s="1">
        <v>39654</v>
      </c>
      <c r="I81" t="s">
        <v>43</v>
      </c>
      <c r="J81">
        <v>1</v>
      </c>
      <c r="K81" t="s">
        <v>169</v>
      </c>
      <c r="L81" t="s">
        <v>537</v>
      </c>
      <c r="M81" t="s">
        <v>171</v>
      </c>
      <c r="N81" t="s">
        <v>538</v>
      </c>
      <c r="O81">
        <v>741.2</v>
      </c>
      <c r="P81" t="s">
        <v>539</v>
      </c>
      <c r="Q81" t="s">
        <v>48</v>
      </c>
      <c r="R81" t="s">
        <v>50</v>
      </c>
      <c r="S81" t="s">
        <v>50</v>
      </c>
      <c r="T81" t="s">
        <v>50</v>
      </c>
      <c r="U81" t="s">
        <v>49</v>
      </c>
      <c r="V81" t="s">
        <v>49</v>
      </c>
      <c r="W81" t="s">
        <v>50</v>
      </c>
      <c r="X81" t="s">
        <v>49</v>
      </c>
      <c r="Y81" t="s">
        <v>50</v>
      </c>
      <c r="Z81">
        <v>37.479999999999997</v>
      </c>
      <c r="AA81">
        <v>37.479999999999997</v>
      </c>
      <c r="AB81">
        <v>24.99</v>
      </c>
      <c r="AC81">
        <v>43.73</v>
      </c>
      <c r="AD81" t="s">
        <v>49</v>
      </c>
      <c r="AE81">
        <v>10226843</v>
      </c>
      <c r="AF81">
        <v>122184</v>
      </c>
      <c r="AH81" t="s">
        <v>50</v>
      </c>
      <c r="AI81" t="s">
        <v>50</v>
      </c>
      <c r="AJ81" t="s">
        <v>51</v>
      </c>
      <c r="AK81" t="s">
        <v>50</v>
      </c>
      <c r="AM81" t="s">
        <v>49</v>
      </c>
      <c r="AN81" t="s">
        <v>540</v>
      </c>
    </row>
    <row r="82" spans="1:40" x14ac:dyDescent="0.2">
      <c r="A82">
        <v>331545</v>
      </c>
      <c r="B82" t="s">
        <v>541</v>
      </c>
      <c r="C82" t="str">
        <f>"9780470129869"</f>
        <v>9780470129869</v>
      </c>
      <c r="D82" t="str">
        <f>"9780470285169"</f>
        <v>9780470285169</v>
      </c>
      <c r="E82" t="s">
        <v>54</v>
      </c>
      <c r="F82" t="s">
        <v>149</v>
      </c>
      <c r="G82" s="1">
        <v>39457</v>
      </c>
      <c r="H82" s="1">
        <v>39654</v>
      </c>
      <c r="I82" t="s">
        <v>43</v>
      </c>
      <c r="J82">
        <v>1</v>
      </c>
      <c r="K82" t="s">
        <v>149</v>
      </c>
      <c r="L82" t="s">
        <v>542</v>
      </c>
      <c r="M82" t="s">
        <v>543</v>
      </c>
      <c r="N82" t="s">
        <v>544</v>
      </c>
      <c r="O82" t="s">
        <v>545</v>
      </c>
      <c r="P82" t="s">
        <v>546</v>
      </c>
      <c r="Q82" t="s">
        <v>48</v>
      </c>
      <c r="R82" t="s">
        <v>49</v>
      </c>
      <c r="S82" t="s">
        <v>50</v>
      </c>
      <c r="T82" t="s">
        <v>50</v>
      </c>
      <c r="U82" t="s">
        <v>49</v>
      </c>
      <c r="V82" t="s">
        <v>49</v>
      </c>
      <c r="W82" t="s">
        <v>50</v>
      </c>
      <c r="X82" t="s">
        <v>49</v>
      </c>
      <c r="Y82" t="s">
        <v>50</v>
      </c>
      <c r="Z82">
        <v>37.479999999999997</v>
      </c>
      <c r="AA82">
        <v>37.479999999999997</v>
      </c>
      <c r="AB82">
        <v>24.99</v>
      </c>
      <c r="AC82">
        <v>43.73</v>
      </c>
      <c r="AD82" t="s">
        <v>49</v>
      </c>
      <c r="AE82">
        <v>10226787</v>
      </c>
      <c r="AF82">
        <v>122259</v>
      </c>
      <c r="AH82" t="s">
        <v>50</v>
      </c>
      <c r="AI82" t="s">
        <v>50</v>
      </c>
      <c r="AJ82" t="s">
        <v>51</v>
      </c>
      <c r="AK82" t="s">
        <v>50</v>
      </c>
      <c r="AM82" t="s">
        <v>49</v>
      </c>
      <c r="AN82" t="s">
        <v>547</v>
      </c>
    </row>
    <row r="83" spans="1:40" x14ac:dyDescent="0.2">
      <c r="A83">
        <v>331671</v>
      </c>
      <c r="B83" t="s">
        <v>548</v>
      </c>
      <c r="C83" t="str">
        <f>"9780470182307"</f>
        <v>9780470182307</v>
      </c>
      <c r="D83" t="str">
        <f>"9780470289273"</f>
        <v>9780470289273</v>
      </c>
      <c r="E83" t="s">
        <v>54</v>
      </c>
      <c r="F83" t="s">
        <v>149</v>
      </c>
      <c r="G83" s="1">
        <v>39483</v>
      </c>
      <c r="H83" s="1">
        <v>39546</v>
      </c>
      <c r="I83" t="s">
        <v>43</v>
      </c>
      <c r="J83">
        <v>1</v>
      </c>
      <c r="K83" t="s">
        <v>149</v>
      </c>
      <c r="L83" t="s">
        <v>549</v>
      </c>
      <c r="M83" t="s">
        <v>171</v>
      </c>
      <c r="N83" t="s">
        <v>550</v>
      </c>
      <c r="O83">
        <v>751.45</v>
      </c>
      <c r="P83" t="s">
        <v>551</v>
      </c>
      <c r="Q83" t="s">
        <v>48</v>
      </c>
      <c r="R83" t="s">
        <v>49</v>
      </c>
      <c r="S83" t="s">
        <v>50</v>
      </c>
      <c r="T83" t="s">
        <v>50</v>
      </c>
      <c r="U83" t="s">
        <v>49</v>
      </c>
      <c r="V83" t="s">
        <v>49</v>
      </c>
      <c r="W83" t="s">
        <v>50</v>
      </c>
      <c r="X83" t="s">
        <v>49</v>
      </c>
      <c r="Y83" t="s">
        <v>50</v>
      </c>
      <c r="Z83">
        <v>37.479999999999997</v>
      </c>
      <c r="AA83">
        <v>37.479999999999997</v>
      </c>
      <c r="AB83">
        <v>24.99</v>
      </c>
      <c r="AC83">
        <v>43.73</v>
      </c>
      <c r="AD83" t="s">
        <v>49</v>
      </c>
      <c r="AE83">
        <v>10225395</v>
      </c>
      <c r="AF83">
        <v>120436</v>
      </c>
      <c r="AH83" t="s">
        <v>50</v>
      </c>
      <c r="AI83" t="s">
        <v>50</v>
      </c>
      <c r="AJ83" t="s">
        <v>51</v>
      </c>
      <c r="AK83" t="s">
        <v>50</v>
      </c>
      <c r="AM83" t="s">
        <v>49</v>
      </c>
      <c r="AN83" t="s">
        <v>552</v>
      </c>
    </row>
    <row r="84" spans="1:40" x14ac:dyDescent="0.2">
      <c r="A84">
        <v>331672</v>
      </c>
      <c r="B84" t="s">
        <v>553</v>
      </c>
      <c r="C84" t="str">
        <f>"9780470182314"</f>
        <v>9780470182314</v>
      </c>
      <c r="D84" t="str">
        <f>"9780470289280"</f>
        <v>9780470289280</v>
      </c>
      <c r="E84" t="s">
        <v>54</v>
      </c>
      <c r="F84" t="s">
        <v>149</v>
      </c>
      <c r="G84" s="1">
        <v>40618</v>
      </c>
      <c r="H84" s="1">
        <v>39546</v>
      </c>
      <c r="I84" t="s">
        <v>43</v>
      </c>
      <c r="J84">
        <v>1</v>
      </c>
      <c r="K84" t="s">
        <v>149</v>
      </c>
      <c r="L84" t="s">
        <v>554</v>
      </c>
      <c r="M84" t="s">
        <v>171</v>
      </c>
      <c r="N84" t="s">
        <v>555</v>
      </c>
      <c r="O84">
        <v>751.42200000000003</v>
      </c>
      <c r="P84" t="s">
        <v>556</v>
      </c>
      <c r="Q84" t="s">
        <v>48</v>
      </c>
      <c r="R84" t="s">
        <v>50</v>
      </c>
      <c r="S84" t="s">
        <v>50</v>
      </c>
      <c r="T84" t="s">
        <v>50</v>
      </c>
      <c r="U84" t="s">
        <v>49</v>
      </c>
      <c r="V84" t="s">
        <v>49</v>
      </c>
      <c r="W84" t="s">
        <v>50</v>
      </c>
      <c r="X84" t="s">
        <v>49</v>
      </c>
      <c r="Y84" t="s">
        <v>50</v>
      </c>
      <c r="Z84">
        <v>37.479999999999997</v>
      </c>
      <c r="AA84">
        <v>37.479999999999997</v>
      </c>
      <c r="AB84">
        <v>24.99</v>
      </c>
      <c r="AC84">
        <v>43.73</v>
      </c>
      <c r="AD84" t="s">
        <v>49</v>
      </c>
      <c r="AE84">
        <v>10225441</v>
      </c>
      <c r="AF84">
        <v>120437</v>
      </c>
      <c r="AH84" t="s">
        <v>50</v>
      </c>
      <c r="AI84" t="s">
        <v>50</v>
      </c>
      <c r="AJ84" t="s">
        <v>51</v>
      </c>
      <c r="AK84" t="s">
        <v>50</v>
      </c>
      <c r="AM84" t="s">
        <v>49</v>
      </c>
      <c r="AN84" t="s">
        <v>557</v>
      </c>
    </row>
    <row r="85" spans="1:40" x14ac:dyDescent="0.2">
      <c r="A85">
        <v>331676</v>
      </c>
      <c r="B85" t="s">
        <v>558</v>
      </c>
      <c r="C85" t="str">
        <f>"9780470224212"</f>
        <v>9780470224212</v>
      </c>
      <c r="D85" t="str">
        <f>"9780470289938"</f>
        <v>9780470289938</v>
      </c>
      <c r="E85" t="s">
        <v>54</v>
      </c>
      <c r="F85" t="s">
        <v>149</v>
      </c>
      <c r="G85" s="1">
        <v>39483</v>
      </c>
      <c r="H85" s="1">
        <v>39546</v>
      </c>
      <c r="I85" t="s">
        <v>43</v>
      </c>
      <c r="J85">
        <v>1</v>
      </c>
      <c r="K85" t="s">
        <v>149</v>
      </c>
      <c r="L85" t="s">
        <v>559</v>
      </c>
      <c r="M85" t="s">
        <v>171</v>
      </c>
      <c r="N85" t="s">
        <v>560</v>
      </c>
      <c r="O85">
        <v>781.3</v>
      </c>
      <c r="P85" t="s">
        <v>561</v>
      </c>
      <c r="Q85" t="s">
        <v>48</v>
      </c>
      <c r="R85" t="s">
        <v>50</v>
      </c>
      <c r="S85" t="s">
        <v>50</v>
      </c>
      <c r="T85" t="s">
        <v>50</v>
      </c>
      <c r="U85" t="s">
        <v>49</v>
      </c>
      <c r="V85" t="s">
        <v>49</v>
      </c>
      <c r="W85" t="s">
        <v>50</v>
      </c>
      <c r="X85" t="s">
        <v>49</v>
      </c>
      <c r="Y85" t="s">
        <v>50</v>
      </c>
      <c r="Z85">
        <v>32.979999999999997</v>
      </c>
      <c r="AA85">
        <v>32.979999999999997</v>
      </c>
      <c r="AB85">
        <v>21.99</v>
      </c>
      <c r="AC85">
        <v>38.479999999999997</v>
      </c>
      <c r="AD85" t="s">
        <v>49</v>
      </c>
      <c r="AE85">
        <v>10345989</v>
      </c>
      <c r="AF85">
        <v>120441</v>
      </c>
      <c r="AH85" t="s">
        <v>50</v>
      </c>
      <c r="AI85" t="s">
        <v>50</v>
      </c>
      <c r="AJ85" t="s">
        <v>51</v>
      </c>
      <c r="AK85" t="s">
        <v>50</v>
      </c>
      <c r="AM85" t="s">
        <v>49</v>
      </c>
      <c r="AN85" t="s">
        <v>562</v>
      </c>
    </row>
    <row r="86" spans="1:40" x14ac:dyDescent="0.2">
      <c r="A86">
        <v>333192</v>
      </c>
      <c r="B86" t="s">
        <v>563</v>
      </c>
      <c r="C86" t="str">
        <f>"9780415954792"</f>
        <v>9780415954792</v>
      </c>
      <c r="D86" t="str">
        <f>"9780203941201"</f>
        <v>9780203941201</v>
      </c>
      <c r="E86" t="s">
        <v>41</v>
      </c>
      <c r="F86" t="s">
        <v>42</v>
      </c>
      <c r="G86" s="1">
        <v>39532</v>
      </c>
      <c r="H86" s="1">
        <v>39635</v>
      </c>
      <c r="I86" t="s">
        <v>43</v>
      </c>
      <c r="J86">
        <v>1</v>
      </c>
      <c r="K86" t="s">
        <v>564</v>
      </c>
      <c r="L86" t="s">
        <v>565</v>
      </c>
      <c r="M86" t="s">
        <v>234</v>
      </c>
      <c r="N86" t="s">
        <v>566</v>
      </c>
      <c r="O86">
        <v>364.01</v>
      </c>
      <c r="P86" t="s">
        <v>567</v>
      </c>
      <c r="Q86" t="s">
        <v>48</v>
      </c>
      <c r="R86" t="s">
        <v>50</v>
      </c>
      <c r="S86" t="s">
        <v>50</v>
      </c>
      <c r="T86" t="s">
        <v>50</v>
      </c>
      <c r="U86" t="s">
        <v>49</v>
      </c>
      <c r="V86" t="s">
        <v>49</v>
      </c>
      <c r="W86" t="s">
        <v>50</v>
      </c>
      <c r="X86" t="s">
        <v>49</v>
      </c>
      <c r="Y86" t="s">
        <v>50</v>
      </c>
      <c r="Z86">
        <v>225</v>
      </c>
      <c r="AA86">
        <v>187.5</v>
      </c>
      <c r="AB86">
        <v>150</v>
      </c>
      <c r="AD86" t="s">
        <v>49</v>
      </c>
      <c r="AE86">
        <v>10236264</v>
      </c>
      <c r="AF86">
        <v>139418</v>
      </c>
      <c r="AH86" t="s">
        <v>50</v>
      </c>
      <c r="AI86" t="s">
        <v>50</v>
      </c>
      <c r="AJ86" t="s">
        <v>51</v>
      </c>
      <c r="AK86" t="s">
        <v>50</v>
      </c>
      <c r="AM86" t="s">
        <v>49</v>
      </c>
      <c r="AN86" t="s">
        <v>568</v>
      </c>
    </row>
    <row r="87" spans="1:40" x14ac:dyDescent="0.2">
      <c r="A87">
        <v>333748</v>
      </c>
      <c r="B87" t="s">
        <v>569</v>
      </c>
      <c r="C87" t="str">
        <f>"9780470225493"</f>
        <v>9780470225493</v>
      </c>
      <c r="D87" t="str">
        <f>"9780470379363"</f>
        <v>9780470379363</v>
      </c>
      <c r="E87" t="s">
        <v>54</v>
      </c>
      <c r="F87" t="s">
        <v>149</v>
      </c>
      <c r="G87" s="1">
        <v>39511</v>
      </c>
      <c r="H87" s="1">
        <v>39536</v>
      </c>
      <c r="I87" t="s">
        <v>43</v>
      </c>
      <c r="J87">
        <v>1</v>
      </c>
      <c r="K87" t="s">
        <v>226</v>
      </c>
      <c r="L87" t="s">
        <v>570</v>
      </c>
      <c r="M87" t="s">
        <v>571</v>
      </c>
      <c r="N87" t="s">
        <v>572</v>
      </c>
      <c r="O87">
        <v>616.85260000000005</v>
      </c>
      <c r="P87" t="s">
        <v>573</v>
      </c>
      <c r="Q87" t="s">
        <v>48</v>
      </c>
      <c r="R87" t="s">
        <v>49</v>
      </c>
      <c r="S87" t="s">
        <v>50</v>
      </c>
      <c r="T87" t="s">
        <v>50</v>
      </c>
      <c r="U87" t="s">
        <v>49</v>
      </c>
      <c r="V87" t="s">
        <v>49</v>
      </c>
      <c r="W87" t="s">
        <v>50</v>
      </c>
      <c r="X87" t="s">
        <v>49</v>
      </c>
      <c r="Y87" t="s">
        <v>50</v>
      </c>
      <c r="Z87">
        <v>29.98</v>
      </c>
      <c r="AA87">
        <v>29.98</v>
      </c>
      <c r="AB87">
        <v>19.989999999999998</v>
      </c>
      <c r="AC87">
        <v>34.979999999999997</v>
      </c>
      <c r="AD87" t="s">
        <v>49</v>
      </c>
      <c r="AE87">
        <v>10226888</v>
      </c>
      <c r="AF87">
        <v>123811</v>
      </c>
      <c r="AH87" t="s">
        <v>50</v>
      </c>
      <c r="AI87" t="s">
        <v>50</v>
      </c>
      <c r="AJ87" t="s">
        <v>51</v>
      </c>
      <c r="AK87" t="s">
        <v>50</v>
      </c>
      <c r="AM87" t="s">
        <v>49</v>
      </c>
      <c r="AN87" t="s">
        <v>574</v>
      </c>
    </row>
    <row r="88" spans="1:40" x14ac:dyDescent="0.2">
      <c r="A88">
        <v>333773</v>
      </c>
      <c r="B88" t="s">
        <v>575</v>
      </c>
      <c r="C88" t="str">
        <f>"9780470226247"</f>
        <v>9780470226247</v>
      </c>
      <c r="D88" t="str">
        <f>"9780470370667"</f>
        <v>9780470370667</v>
      </c>
      <c r="E88" t="s">
        <v>54</v>
      </c>
      <c r="F88" t="s">
        <v>149</v>
      </c>
      <c r="G88" s="1">
        <v>39538</v>
      </c>
      <c r="H88" s="1">
        <v>39536</v>
      </c>
      <c r="I88" t="s">
        <v>43</v>
      </c>
      <c r="J88">
        <v>1</v>
      </c>
      <c r="K88" t="s">
        <v>149</v>
      </c>
      <c r="L88" t="s">
        <v>576</v>
      </c>
      <c r="M88" t="s">
        <v>45</v>
      </c>
      <c r="N88" t="s">
        <v>577</v>
      </c>
      <c r="O88">
        <v>438.24209999999999</v>
      </c>
      <c r="P88" t="s">
        <v>578</v>
      </c>
      <c r="Q88" t="s">
        <v>48</v>
      </c>
      <c r="R88" t="s">
        <v>49</v>
      </c>
      <c r="S88" t="s">
        <v>50</v>
      </c>
      <c r="T88" t="s">
        <v>50</v>
      </c>
      <c r="U88" t="s">
        <v>49</v>
      </c>
      <c r="V88" t="s">
        <v>49</v>
      </c>
      <c r="W88" t="s">
        <v>50</v>
      </c>
      <c r="X88" t="s">
        <v>49</v>
      </c>
      <c r="Y88" t="s">
        <v>50</v>
      </c>
      <c r="Z88">
        <v>29.98</v>
      </c>
      <c r="AA88">
        <v>29.98</v>
      </c>
      <c r="AB88">
        <v>19.989999999999998</v>
      </c>
      <c r="AC88">
        <v>34.979999999999997</v>
      </c>
      <c r="AD88" t="s">
        <v>49</v>
      </c>
      <c r="AE88">
        <v>10226706</v>
      </c>
      <c r="AF88">
        <v>123780</v>
      </c>
      <c r="AH88" t="s">
        <v>50</v>
      </c>
      <c r="AI88" t="s">
        <v>50</v>
      </c>
      <c r="AJ88" t="s">
        <v>51</v>
      </c>
      <c r="AK88" t="s">
        <v>50</v>
      </c>
      <c r="AM88" t="s">
        <v>49</v>
      </c>
      <c r="AN88" t="s">
        <v>579</v>
      </c>
    </row>
    <row r="89" spans="1:40" x14ac:dyDescent="0.2">
      <c r="A89">
        <v>334354</v>
      </c>
      <c r="B89" t="s">
        <v>580</v>
      </c>
      <c r="C89" t="str">
        <f>"9781412907071"</f>
        <v>9781412907071</v>
      </c>
      <c r="D89" t="str">
        <f>"9781847878052"</f>
        <v>9781847878052</v>
      </c>
      <c r="E89" t="s">
        <v>581</v>
      </c>
      <c r="F89" t="s">
        <v>581</v>
      </c>
      <c r="G89" s="1">
        <v>38834</v>
      </c>
      <c r="H89" s="1">
        <v>39538</v>
      </c>
      <c r="I89" t="s">
        <v>43</v>
      </c>
      <c r="J89">
        <v>1</v>
      </c>
      <c r="K89" t="s">
        <v>582</v>
      </c>
      <c r="L89" t="s">
        <v>583</v>
      </c>
      <c r="M89" t="s">
        <v>234</v>
      </c>
      <c r="N89" t="s">
        <v>584</v>
      </c>
      <c r="O89">
        <v>364</v>
      </c>
      <c r="P89" t="s">
        <v>585</v>
      </c>
      <c r="Q89" t="s">
        <v>48</v>
      </c>
      <c r="R89" t="s">
        <v>49</v>
      </c>
      <c r="S89" t="s">
        <v>50</v>
      </c>
      <c r="T89" t="s">
        <v>50</v>
      </c>
      <c r="U89" t="s">
        <v>49</v>
      </c>
      <c r="V89" t="s">
        <v>49</v>
      </c>
      <c r="W89" t="s">
        <v>50</v>
      </c>
      <c r="X89" t="s">
        <v>49</v>
      </c>
      <c r="Y89" t="s">
        <v>50</v>
      </c>
      <c r="Z89">
        <v>231</v>
      </c>
      <c r="AA89">
        <v>192.5</v>
      </c>
      <c r="AB89">
        <v>154</v>
      </c>
      <c r="AC89">
        <v>231</v>
      </c>
      <c r="AD89" t="s">
        <v>49</v>
      </c>
      <c r="AE89">
        <v>10218133</v>
      </c>
      <c r="AF89">
        <v>124449</v>
      </c>
      <c r="AH89" t="s">
        <v>49</v>
      </c>
      <c r="AI89" t="s">
        <v>50</v>
      </c>
      <c r="AJ89" t="s">
        <v>51</v>
      </c>
      <c r="AK89" t="s">
        <v>50</v>
      </c>
      <c r="AM89" t="s">
        <v>49</v>
      </c>
      <c r="AN89" t="s">
        <v>586</v>
      </c>
    </row>
    <row r="90" spans="1:40" x14ac:dyDescent="0.2">
      <c r="A90">
        <v>336400</v>
      </c>
      <c r="B90" t="s">
        <v>587</v>
      </c>
      <c r="C90" t="str">
        <f>"9780550100948"</f>
        <v>9780550100948</v>
      </c>
      <c r="D90" t="str">
        <f>"9780550104588"</f>
        <v>9780550104588</v>
      </c>
      <c r="E90" t="s">
        <v>588</v>
      </c>
      <c r="F90" t="s">
        <v>589</v>
      </c>
      <c r="G90" s="1">
        <v>38614</v>
      </c>
      <c r="H90" s="1">
        <v>39618</v>
      </c>
      <c r="I90" t="s">
        <v>43</v>
      </c>
      <c r="J90">
        <v>3</v>
      </c>
      <c r="L90" t="s">
        <v>590</v>
      </c>
      <c r="M90" t="s">
        <v>275</v>
      </c>
      <c r="N90" t="s">
        <v>591</v>
      </c>
      <c r="O90">
        <v>903</v>
      </c>
      <c r="P90" t="s">
        <v>592</v>
      </c>
      <c r="Q90" t="s">
        <v>48</v>
      </c>
      <c r="R90" t="s">
        <v>50</v>
      </c>
      <c r="S90" t="s">
        <v>50</v>
      </c>
      <c r="T90" t="s">
        <v>50</v>
      </c>
      <c r="U90" t="s">
        <v>49</v>
      </c>
      <c r="V90" t="s">
        <v>49</v>
      </c>
      <c r="W90" t="s">
        <v>50</v>
      </c>
      <c r="X90" t="s">
        <v>49</v>
      </c>
      <c r="Y90" t="s">
        <v>50</v>
      </c>
      <c r="Z90">
        <v>68.75</v>
      </c>
      <c r="AD90" t="s">
        <v>50</v>
      </c>
      <c r="AF90">
        <v>120921</v>
      </c>
      <c r="AH90" t="s">
        <v>50</v>
      </c>
      <c r="AI90" t="s">
        <v>50</v>
      </c>
      <c r="AJ90" t="s">
        <v>51</v>
      </c>
      <c r="AK90" t="s">
        <v>50</v>
      </c>
      <c r="AM90" t="s">
        <v>49</v>
      </c>
      <c r="AN90" t="s">
        <v>593</v>
      </c>
    </row>
    <row r="91" spans="1:40" x14ac:dyDescent="0.2">
      <c r="A91">
        <v>336404</v>
      </c>
      <c r="B91" t="s">
        <v>594</v>
      </c>
      <c r="C91" t="str">
        <f>"9780245607851"</f>
        <v>9780245607851</v>
      </c>
      <c r="D91" t="str">
        <f>"9780245608346"</f>
        <v>9780245608346</v>
      </c>
      <c r="E91" t="s">
        <v>588</v>
      </c>
      <c r="F91" t="s">
        <v>595</v>
      </c>
      <c r="G91" s="1">
        <v>39136</v>
      </c>
      <c r="H91" s="1">
        <v>39636</v>
      </c>
      <c r="I91" t="s">
        <v>43</v>
      </c>
      <c r="J91">
        <v>2</v>
      </c>
      <c r="L91" t="s">
        <v>596</v>
      </c>
      <c r="M91" t="s">
        <v>45</v>
      </c>
      <c r="N91" t="s">
        <v>597</v>
      </c>
      <c r="O91">
        <v>468.34210000000002</v>
      </c>
      <c r="P91" t="s">
        <v>598</v>
      </c>
      <c r="Q91" t="s">
        <v>599</v>
      </c>
      <c r="R91" t="s">
        <v>50</v>
      </c>
      <c r="S91" t="s">
        <v>50</v>
      </c>
      <c r="T91" t="s">
        <v>50</v>
      </c>
      <c r="U91" t="s">
        <v>49</v>
      </c>
      <c r="V91" t="s">
        <v>49</v>
      </c>
      <c r="W91" t="s">
        <v>50</v>
      </c>
      <c r="X91" t="s">
        <v>49</v>
      </c>
      <c r="Y91" t="s">
        <v>50</v>
      </c>
      <c r="Z91">
        <v>17.489999999999998</v>
      </c>
      <c r="AD91" t="s">
        <v>50</v>
      </c>
      <c r="AF91">
        <v>125943</v>
      </c>
      <c r="AH91" t="s">
        <v>50</v>
      </c>
      <c r="AI91" t="s">
        <v>50</v>
      </c>
      <c r="AJ91" t="s">
        <v>51</v>
      </c>
      <c r="AK91" t="s">
        <v>50</v>
      </c>
      <c r="AM91" t="s">
        <v>49</v>
      </c>
      <c r="AN91" t="s">
        <v>600</v>
      </c>
    </row>
    <row r="92" spans="1:40" x14ac:dyDescent="0.2">
      <c r="A92">
        <v>336407</v>
      </c>
      <c r="B92" t="s">
        <v>601</v>
      </c>
      <c r="C92" t="str">
        <f>"9780245607646"</f>
        <v>9780245607646</v>
      </c>
      <c r="D92" t="str">
        <f>"9780245608353"</f>
        <v>9780245608353</v>
      </c>
      <c r="E92" t="s">
        <v>588</v>
      </c>
      <c r="F92" t="s">
        <v>595</v>
      </c>
      <c r="G92" s="1">
        <v>39171</v>
      </c>
      <c r="H92" s="1">
        <v>39618</v>
      </c>
      <c r="I92" t="s">
        <v>43</v>
      </c>
      <c r="J92">
        <v>3</v>
      </c>
      <c r="L92" t="s">
        <v>602</v>
      </c>
      <c r="M92" t="s">
        <v>45</v>
      </c>
      <c r="O92">
        <v>448.24209999999999</v>
      </c>
      <c r="Q92" t="s">
        <v>603</v>
      </c>
      <c r="R92" t="s">
        <v>50</v>
      </c>
      <c r="S92" t="s">
        <v>50</v>
      </c>
      <c r="T92" t="s">
        <v>50</v>
      </c>
      <c r="U92" t="s">
        <v>49</v>
      </c>
      <c r="V92" t="s">
        <v>49</v>
      </c>
      <c r="W92" t="s">
        <v>50</v>
      </c>
      <c r="X92" t="s">
        <v>49</v>
      </c>
      <c r="Y92" t="s">
        <v>50</v>
      </c>
      <c r="Z92">
        <v>17.489999999999998</v>
      </c>
      <c r="AD92" t="s">
        <v>50</v>
      </c>
      <c r="AF92">
        <v>125941</v>
      </c>
      <c r="AH92" t="s">
        <v>50</v>
      </c>
      <c r="AI92" t="s">
        <v>50</v>
      </c>
      <c r="AJ92" t="s">
        <v>51</v>
      </c>
      <c r="AK92" t="s">
        <v>50</v>
      </c>
      <c r="AM92" t="s">
        <v>49</v>
      </c>
      <c r="AN92" t="s">
        <v>604</v>
      </c>
    </row>
    <row r="93" spans="1:40" x14ac:dyDescent="0.2">
      <c r="A93">
        <v>338796</v>
      </c>
      <c r="B93" t="s">
        <v>605</v>
      </c>
      <c r="C93" t="str">
        <f>"9781859591482"</f>
        <v>9781859591482</v>
      </c>
      <c r="D93" t="str">
        <f>"9781859592007"</f>
        <v>9781859592007</v>
      </c>
      <c r="E93" t="s">
        <v>606</v>
      </c>
      <c r="F93" t="s">
        <v>607</v>
      </c>
      <c r="G93" s="1">
        <v>38869</v>
      </c>
      <c r="H93" s="1">
        <v>39570</v>
      </c>
      <c r="I93" t="s">
        <v>43</v>
      </c>
      <c r="J93">
        <v>3</v>
      </c>
      <c r="K93" t="s">
        <v>607</v>
      </c>
      <c r="L93" t="s">
        <v>608</v>
      </c>
      <c r="M93" t="s">
        <v>571</v>
      </c>
      <c r="N93" t="s">
        <v>609</v>
      </c>
      <c r="O93">
        <v>616.83000000000004</v>
      </c>
      <c r="P93" t="s">
        <v>610</v>
      </c>
      <c r="Q93" t="s">
        <v>48</v>
      </c>
      <c r="R93" t="s">
        <v>50</v>
      </c>
      <c r="S93" t="s">
        <v>50</v>
      </c>
      <c r="T93" t="s">
        <v>50</v>
      </c>
      <c r="U93" t="s">
        <v>50</v>
      </c>
      <c r="V93" t="s">
        <v>49</v>
      </c>
      <c r="W93" t="s">
        <v>50</v>
      </c>
      <c r="X93" t="s">
        <v>50</v>
      </c>
      <c r="Y93" t="s">
        <v>50</v>
      </c>
      <c r="AA93">
        <v>44.98</v>
      </c>
      <c r="AB93">
        <v>29.99</v>
      </c>
      <c r="AD93" t="s">
        <v>49</v>
      </c>
      <c r="AE93">
        <v>10231481</v>
      </c>
      <c r="AF93">
        <v>118961</v>
      </c>
      <c r="AH93" t="s">
        <v>50</v>
      </c>
      <c r="AI93" t="s">
        <v>50</v>
      </c>
      <c r="AJ93" t="s">
        <v>51</v>
      </c>
      <c r="AK93" t="s">
        <v>50</v>
      </c>
      <c r="AM93" t="s">
        <v>49</v>
      </c>
      <c r="AN93" t="s">
        <v>611</v>
      </c>
    </row>
    <row r="94" spans="1:40" x14ac:dyDescent="0.2">
      <c r="A94">
        <v>339330</v>
      </c>
      <c r="B94" t="s">
        <v>612</v>
      </c>
      <c r="C94" t="str">
        <f>"9780313338489"</f>
        <v>9780313338489</v>
      </c>
      <c r="D94" t="str">
        <f>"9780313081934"</f>
        <v>9780313081934</v>
      </c>
      <c r="E94" t="s">
        <v>479</v>
      </c>
      <c r="F94" t="s">
        <v>479</v>
      </c>
      <c r="G94" s="1">
        <v>39537</v>
      </c>
      <c r="H94" s="1">
        <v>39569</v>
      </c>
      <c r="I94" t="s">
        <v>43</v>
      </c>
      <c r="K94" t="s">
        <v>613</v>
      </c>
      <c r="L94" t="s">
        <v>614</v>
      </c>
      <c r="M94" t="s">
        <v>386</v>
      </c>
      <c r="N94" t="s">
        <v>615</v>
      </c>
      <c r="O94">
        <v>305.800973</v>
      </c>
      <c r="P94" t="s">
        <v>616</v>
      </c>
      <c r="Q94" t="s">
        <v>48</v>
      </c>
      <c r="R94" t="s">
        <v>49</v>
      </c>
      <c r="S94" t="s">
        <v>50</v>
      </c>
      <c r="T94" t="s">
        <v>50</v>
      </c>
      <c r="U94" t="s">
        <v>49</v>
      </c>
      <c r="V94" t="s">
        <v>49</v>
      </c>
      <c r="W94" t="s">
        <v>50</v>
      </c>
      <c r="X94" t="s">
        <v>49</v>
      </c>
      <c r="Y94" t="s">
        <v>50</v>
      </c>
      <c r="Z94">
        <v>96.25</v>
      </c>
      <c r="AA94">
        <v>82.5</v>
      </c>
      <c r="AB94">
        <v>55</v>
      </c>
      <c r="AC94">
        <v>110</v>
      </c>
      <c r="AD94" t="s">
        <v>49</v>
      </c>
      <c r="AE94">
        <v>10225047</v>
      </c>
      <c r="AF94">
        <v>130171</v>
      </c>
      <c r="AH94" t="s">
        <v>50</v>
      </c>
      <c r="AI94" t="s">
        <v>50</v>
      </c>
      <c r="AJ94" t="s">
        <v>51</v>
      </c>
      <c r="AK94" t="s">
        <v>50</v>
      </c>
      <c r="AM94" t="s">
        <v>49</v>
      </c>
      <c r="AN94" t="s">
        <v>617</v>
      </c>
    </row>
    <row r="95" spans="1:40" x14ac:dyDescent="0.2">
      <c r="A95">
        <v>340797</v>
      </c>
      <c r="B95" t="s">
        <v>618</v>
      </c>
      <c r="C95" t="str">
        <f>"9781593856014"</f>
        <v>9781593856014</v>
      </c>
      <c r="D95" t="str">
        <f>"9781606230060"</f>
        <v>9781606230060</v>
      </c>
      <c r="E95" t="s">
        <v>619</v>
      </c>
      <c r="F95" t="s">
        <v>620</v>
      </c>
      <c r="G95" s="1">
        <v>39448</v>
      </c>
      <c r="H95" s="1">
        <v>39602</v>
      </c>
      <c r="I95" t="s">
        <v>43</v>
      </c>
      <c r="L95" t="s">
        <v>621</v>
      </c>
      <c r="M95" t="s">
        <v>622</v>
      </c>
      <c r="N95" t="s">
        <v>623</v>
      </c>
      <c r="O95" t="s">
        <v>624</v>
      </c>
      <c r="P95" t="s">
        <v>625</v>
      </c>
      <c r="Q95" t="s">
        <v>48</v>
      </c>
      <c r="R95" t="s">
        <v>49</v>
      </c>
      <c r="S95" t="s">
        <v>50</v>
      </c>
      <c r="T95" t="s">
        <v>50</v>
      </c>
      <c r="U95" t="s">
        <v>49</v>
      </c>
      <c r="V95" t="s">
        <v>49</v>
      </c>
      <c r="W95" t="s">
        <v>50</v>
      </c>
      <c r="X95" t="s">
        <v>49</v>
      </c>
      <c r="Y95" t="s">
        <v>50</v>
      </c>
      <c r="Z95">
        <v>99.75</v>
      </c>
      <c r="AA95">
        <v>85.5</v>
      </c>
      <c r="AB95">
        <v>57</v>
      </c>
      <c r="AC95">
        <v>128.25</v>
      </c>
      <c r="AD95" t="s">
        <v>49</v>
      </c>
      <c r="AE95">
        <v>10225075</v>
      </c>
      <c r="AF95">
        <v>135682</v>
      </c>
      <c r="AH95" t="s">
        <v>50</v>
      </c>
      <c r="AI95" t="s">
        <v>50</v>
      </c>
      <c r="AJ95" t="s">
        <v>51</v>
      </c>
      <c r="AK95" t="s">
        <v>50</v>
      </c>
      <c r="AM95" t="s">
        <v>49</v>
      </c>
      <c r="AN95" t="s">
        <v>626</v>
      </c>
    </row>
    <row r="96" spans="1:40" x14ac:dyDescent="0.2">
      <c r="A96">
        <v>340804</v>
      </c>
      <c r="B96" t="s">
        <v>627</v>
      </c>
      <c r="C96" t="str">
        <f>"9781593856397"</f>
        <v>9781593856397</v>
      </c>
      <c r="D96" t="str">
        <f>"9781606230138"</f>
        <v>9781606230138</v>
      </c>
      <c r="E96" t="s">
        <v>619</v>
      </c>
      <c r="F96" t="s">
        <v>620</v>
      </c>
      <c r="G96" s="1">
        <v>39455</v>
      </c>
      <c r="H96" s="1">
        <v>39602</v>
      </c>
      <c r="I96" t="s">
        <v>43</v>
      </c>
      <c r="L96" t="s">
        <v>628</v>
      </c>
      <c r="M96" t="s">
        <v>234</v>
      </c>
      <c r="N96" t="s">
        <v>629</v>
      </c>
      <c r="O96">
        <v>364.360973</v>
      </c>
      <c r="P96" t="s">
        <v>630</v>
      </c>
      <c r="Q96" t="s">
        <v>48</v>
      </c>
      <c r="R96" t="s">
        <v>49</v>
      </c>
      <c r="S96" t="s">
        <v>50</v>
      </c>
      <c r="T96" t="s">
        <v>50</v>
      </c>
      <c r="U96" t="s">
        <v>49</v>
      </c>
      <c r="V96" t="s">
        <v>49</v>
      </c>
      <c r="W96" t="s">
        <v>50</v>
      </c>
      <c r="X96" t="s">
        <v>49</v>
      </c>
      <c r="Y96" t="s">
        <v>50</v>
      </c>
      <c r="Z96">
        <v>164.5</v>
      </c>
      <c r="AA96">
        <v>141</v>
      </c>
      <c r="AB96">
        <v>94</v>
      </c>
      <c r="AC96">
        <v>211.5</v>
      </c>
      <c r="AD96" t="s">
        <v>49</v>
      </c>
      <c r="AE96">
        <v>10225080</v>
      </c>
      <c r="AF96">
        <v>135689</v>
      </c>
      <c r="AH96" t="s">
        <v>49</v>
      </c>
      <c r="AI96" t="s">
        <v>50</v>
      </c>
      <c r="AJ96" t="s">
        <v>51</v>
      </c>
      <c r="AK96" t="s">
        <v>50</v>
      </c>
      <c r="AM96" t="s">
        <v>49</v>
      </c>
      <c r="AN96" t="s">
        <v>631</v>
      </c>
    </row>
    <row r="97" spans="1:40" x14ac:dyDescent="0.2">
      <c r="A97">
        <v>340809</v>
      </c>
      <c r="B97" t="s">
        <v>632</v>
      </c>
      <c r="C97" t="str">
        <f>"9780813541921"</f>
        <v>9780813541921</v>
      </c>
      <c r="D97" t="str">
        <f>"9780813543949"</f>
        <v>9780813543949</v>
      </c>
      <c r="E97" t="s">
        <v>633</v>
      </c>
      <c r="F97" t="s">
        <v>633</v>
      </c>
      <c r="G97" s="1">
        <v>39401</v>
      </c>
      <c r="H97" s="1">
        <v>39571</v>
      </c>
      <c r="I97" t="s">
        <v>43</v>
      </c>
      <c r="J97">
        <v>1</v>
      </c>
      <c r="L97" t="s">
        <v>634</v>
      </c>
      <c r="M97" t="s">
        <v>635</v>
      </c>
      <c r="N97" t="s">
        <v>636</v>
      </c>
      <c r="O97" t="s">
        <v>637</v>
      </c>
      <c r="Q97" t="s">
        <v>48</v>
      </c>
      <c r="R97" t="s">
        <v>49</v>
      </c>
      <c r="S97" t="s">
        <v>50</v>
      </c>
      <c r="T97" t="s">
        <v>50</v>
      </c>
      <c r="U97" t="s">
        <v>49</v>
      </c>
      <c r="V97" t="s">
        <v>49</v>
      </c>
      <c r="W97" t="s">
        <v>50</v>
      </c>
      <c r="X97" t="s">
        <v>49</v>
      </c>
      <c r="Y97" t="s">
        <v>50</v>
      </c>
      <c r="Z97">
        <v>93.57</v>
      </c>
      <c r="AA97">
        <v>93.57</v>
      </c>
      <c r="AB97">
        <v>62.38</v>
      </c>
      <c r="AC97">
        <v>187.14</v>
      </c>
      <c r="AD97" t="s">
        <v>49</v>
      </c>
      <c r="AE97">
        <v>10225225</v>
      </c>
      <c r="AF97">
        <v>131652</v>
      </c>
      <c r="AH97" t="s">
        <v>49</v>
      </c>
      <c r="AI97" t="s">
        <v>50</v>
      </c>
      <c r="AJ97" t="s">
        <v>51</v>
      </c>
      <c r="AK97" t="s">
        <v>50</v>
      </c>
      <c r="AM97" t="s">
        <v>49</v>
      </c>
      <c r="AN97" t="s">
        <v>638</v>
      </c>
    </row>
    <row r="98" spans="1:40" x14ac:dyDescent="0.2">
      <c r="A98">
        <v>342951</v>
      </c>
      <c r="B98" t="s">
        <v>639</v>
      </c>
      <c r="C98" t="str">
        <f>"9780415460460"</f>
        <v>9780415460460</v>
      </c>
      <c r="D98" t="str">
        <f>"9780203928202"</f>
        <v>9780203928202</v>
      </c>
      <c r="E98" t="s">
        <v>41</v>
      </c>
      <c r="F98" t="s">
        <v>42</v>
      </c>
      <c r="G98" s="1">
        <v>39639</v>
      </c>
      <c r="H98" s="1">
        <v>39635</v>
      </c>
      <c r="I98" t="s">
        <v>43</v>
      </c>
      <c r="J98">
        <v>1</v>
      </c>
      <c r="L98" t="s">
        <v>640</v>
      </c>
      <c r="M98" t="s">
        <v>45</v>
      </c>
      <c r="N98" t="s">
        <v>641</v>
      </c>
      <c r="O98" t="s">
        <v>642</v>
      </c>
      <c r="P98" t="s">
        <v>643</v>
      </c>
      <c r="Q98" t="s">
        <v>48</v>
      </c>
      <c r="R98" t="s">
        <v>49</v>
      </c>
      <c r="S98" t="s">
        <v>50</v>
      </c>
      <c r="T98" t="s">
        <v>50</v>
      </c>
      <c r="U98" t="s">
        <v>49</v>
      </c>
      <c r="V98" t="s">
        <v>49</v>
      </c>
      <c r="W98" t="s">
        <v>50</v>
      </c>
      <c r="X98" t="s">
        <v>49</v>
      </c>
      <c r="Y98" t="s">
        <v>50</v>
      </c>
      <c r="AA98">
        <v>225</v>
      </c>
      <c r="AB98">
        <v>180</v>
      </c>
      <c r="AC98">
        <v>270</v>
      </c>
      <c r="AD98" t="s">
        <v>49</v>
      </c>
      <c r="AE98">
        <v>10236209</v>
      </c>
      <c r="AF98">
        <v>139485</v>
      </c>
      <c r="AH98" t="s">
        <v>50</v>
      </c>
      <c r="AI98" t="s">
        <v>50</v>
      </c>
      <c r="AJ98" t="s">
        <v>51</v>
      </c>
      <c r="AK98" t="s">
        <v>50</v>
      </c>
      <c r="AM98" t="s">
        <v>49</v>
      </c>
      <c r="AN98" t="s">
        <v>644</v>
      </c>
    </row>
    <row r="99" spans="1:40" x14ac:dyDescent="0.2">
      <c r="A99">
        <v>343389</v>
      </c>
      <c r="B99" t="s">
        <v>645</v>
      </c>
      <c r="C99" t="str">
        <f>"9781851097524"</f>
        <v>9781851097524</v>
      </c>
      <c r="D99" t="str">
        <f>"9781851097579"</f>
        <v>9781851097579</v>
      </c>
      <c r="E99" t="s">
        <v>232</v>
      </c>
      <c r="F99" t="s">
        <v>232</v>
      </c>
      <c r="G99" s="1">
        <v>39661</v>
      </c>
      <c r="H99" s="1">
        <v>40244</v>
      </c>
      <c r="I99" t="s">
        <v>43</v>
      </c>
      <c r="L99" t="s">
        <v>646</v>
      </c>
      <c r="M99" t="s">
        <v>91</v>
      </c>
      <c r="N99" t="s">
        <v>647</v>
      </c>
      <c r="O99">
        <v>973.20299999999997</v>
      </c>
      <c r="P99" t="s">
        <v>648</v>
      </c>
      <c r="Q99" t="s">
        <v>48</v>
      </c>
      <c r="R99" t="s">
        <v>49</v>
      </c>
      <c r="S99" t="s">
        <v>50</v>
      </c>
      <c r="T99" t="s">
        <v>50</v>
      </c>
      <c r="U99" t="s">
        <v>49</v>
      </c>
      <c r="V99" t="s">
        <v>49</v>
      </c>
      <c r="W99" t="s">
        <v>50</v>
      </c>
      <c r="X99" t="s">
        <v>49</v>
      </c>
      <c r="Y99" t="s">
        <v>50</v>
      </c>
      <c r="Z99">
        <v>514.5</v>
      </c>
      <c r="AA99">
        <v>441</v>
      </c>
      <c r="AB99">
        <v>294</v>
      </c>
      <c r="AC99">
        <v>588</v>
      </c>
      <c r="AD99" t="s">
        <v>49</v>
      </c>
      <c r="AE99">
        <v>10257430</v>
      </c>
      <c r="AF99">
        <v>190639</v>
      </c>
      <c r="AH99" t="s">
        <v>50</v>
      </c>
      <c r="AI99" t="s">
        <v>50</v>
      </c>
      <c r="AJ99" t="s">
        <v>51</v>
      </c>
      <c r="AK99" t="s">
        <v>50</v>
      </c>
      <c r="AM99" t="s">
        <v>49</v>
      </c>
      <c r="AN99" t="s">
        <v>649</v>
      </c>
    </row>
    <row r="100" spans="1:40" x14ac:dyDescent="0.2">
      <c r="A100">
        <v>343991</v>
      </c>
      <c r="B100" t="s">
        <v>650</v>
      </c>
      <c r="C100" t="str">
        <f>"9780415438957"</f>
        <v>9780415438957</v>
      </c>
      <c r="D100" t="str">
        <f>"9780203889862"</f>
        <v>9780203889862</v>
      </c>
      <c r="E100" t="s">
        <v>41</v>
      </c>
      <c r="F100" t="s">
        <v>42</v>
      </c>
      <c r="G100" s="1">
        <v>36526</v>
      </c>
      <c r="H100" s="1">
        <v>39635</v>
      </c>
      <c r="I100" t="s">
        <v>43</v>
      </c>
      <c r="J100">
        <v>2</v>
      </c>
      <c r="L100" t="s">
        <v>651</v>
      </c>
      <c r="M100" t="s">
        <v>220</v>
      </c>
      <c r="N100" t="s">
        <v>652</v>
      </c>
      <c r="O100">
        <v>909.82</v>
      </c>
      <c r="P100" t="s">
        <v>653</v>
      </c>
      <c r="Q100" t="s">
        <v>48</v>
      </c>
      <c r="R100" t="s">
        <v>50</v>
      </c>
      <c r="S100" t="s">
        <v>50</v>
      </c>
      <c r="T100" t="s">
        <v>50</v>
      </c>
      <c r="U100" t="s">
        <v>49</v>
      </c>
      <c r="V100" t="s">
        <v>49</v>
      </c>
      <c r="W100" t="s">
        <v>50</v>
      </c>
      <c r="X100" t="s">
        <v>49</v>
      </c>
      <c r="Y100" t="s">
        <v>50</v>
      </c>
      <c r="Z100">
        <v>217.5</v>
      </c>
      <c r="AA100">
        <v>181.25</v>
      </c>
      <c r="AB100">
        <v>145</v>
      </c>
      <c r="AD100" t="s">
        <v>49</v>
      </c>
      <c r="AE100">
        <v>10236241</v>
      </c>
      <c r="AF100">
        <v>139515</v>
      </c>
      <c r="AH100" t="s">
        <v>50</v>
      </c>
      <c r="AI100" t="s">
        <v>50</v>
      </c>
      <c r="AJ100" t="s">
        <v>51</v>
      </c>
      <c r="AK100" t="s">
        <v>50</v>
      </c>
      <c r="AM100" t="s">
        <v>49</v>
      </c>
      <c r="AN100" t="s">
        <v>654</v>
      </c>
    </row>
    <row r="101" spans="1:40" x14ac:dyDescent="0.2">
      <c r="A101">
        <v>345068</v>
      </c>
      <c r="B101" t="s">
        <v>655</v>
      </c>
      <c r="C101" t="str">
        <f>"9780415408851"</f>
        <v>9780415408851</v>
      </c>
      <c r="D101" t="str">
        <f>"9780203928189"</f>
        <v>9780203928189</v>
      </c>
      <c r="E101" t="s">
        <v>41</v>
      </c>
      <c r="F101" t="s">
        <v>42</v>
      </c>
      <c r="G101" s="1">
        <v>39658</v>
      </c>
      <c r="H101" s="1">
        <v>39635</v>
      </c>
      <c r="I101" t="s">
        <v>43</v>
      </c>
      <c r="J101">
        <v>1</v>
      </c>
      <c r="L101" t="s">
        <v>656</v>
      </c>
      <c r="M101" t="s">
        <v>45</v>
      </c>
      <c r="N101" t="s">
        <v>657</v>
      </c>
      <c r="O101">
        <v>468.24210246500002</v>
      </c>
      <c r="P101" t="s">
        <v>658</v>
      </c>
      <c r="Q101" t="s">
        <v>48</v>
      </c>
      <c r="R101" t="s">
        <v>49</v>
      </c>
      <c r="S101" t="s">
        <v>50</v>
      </c>
      <c r="T101" t="s">
        <v>50</v>
      </c>
      <c r="U101" t="s">
        <v>49</v>
      </c>
      <c r="V101" t="s">
        <v>49</v>
      </c>
      <c r="W101" t="s">
        <v>50</v>
      </c>
      <c r="X101" t="s">
        <v>49</v>
      </c>
      <c r="Y101" t="s">
        <v>50</v>
      </c>
      <c r="AA101">
        <v>225</v>
      </c>
      <c r="AB101">
        <v>180</v>
      </c>
      <c r="AC101">
        <v>270</v>
      </c>
      <c r="AD101" t="s">
        <v>49</v>
      </c>
      <c r="AE101">
        <v>10236176</v>
      </c>
      <c r="AF101">
        <v>139525</v>
      </c>
      <c r="AH101" t="s">
        <v>50</v>
      </c>
      <c r="AI101" t="s">
        <v>50</v>
      </c>
      <c r="AJ101" t="s">
        <v>51</v>
      </c>
      <c r="AK101" t="s">
        <v>50</v>
      </c>
      <c r="AM101" t="s">
        <v>49</v>
      </c>
      <c r="AN101" t="s">
        <v>659</v>
      </c>
    </row>
    <row r="102" spans="1:40" x14ac:dyDescent="0.2">
      <c r="A102">
        <v>348458</v>
      </c>
      <c r="B102" t="s">
        <v>660</v>
      </c>
      <c r="C102" t="str">
        <f>"9780415427937"</f>
        <v>9780415427937</v>
      </c>
      <c r="D102" t="str">
        <f>"9780203895184"</f>
        <v>9780203895184</v>
      </c>
      <c r="E102" t="s">
        <v>41</v>
      </c>
      <c r="F102" t="s">
        <v>42</v>
      </c>
      <c r="G102" s="1">
        <v>39679</v>
      </c>
      <c r="H102" s="1">
        <v>39706</v>
      </c>
      <c r="I102" t="s">
        <v>43</v>
      </c>
      <c r="J102">
        <v>1</v>
      </c>
      <c r="K102" t="s">
        <v>460</v>
      </c>
      <c r="L102" t="s">
        <v>661</v>
      </c>
      <c r="M102" t="s">
        <v>234</v>
      </c>
      <c r="N102" t="s">
        <v>662</v>
      </c>
      <c r="O102">
        <v>364</v>
      </c>
      <c r="P102" t="s">
        <v>663</v>
      </c>
      <c r="Q102" t="s">
        <v>48</v>
      </c>
      <c r="R102" t="s">
        <v>49</v>
      </c>
      <c r="S102" t="s">
        <v>50</v>
      </c>
      <c r="T102" t="s">
        <v>50</v>
      </c>
      <c r="U102" t="s">
        <v>49</v>
      </c>
      <c r="V102" t="s">
        <v>49</v>
      </c>
      <c r="W102" t="s">
        <v>50</v>
      </c>
      <c r="X102" t="s">
        <v>49</v>
      </c>
      <c r="Y102" t="s">
        <v>50</v>
      </c>
      <c r="AA102">
        <v>168.75</v>
      </c>
      <c r="AB102">
        <v>135</v>
      </c>
      <c r="AC102">
        <v>202.5</v>
      </c>
      <c r="AD102" t="s">
        <v>49</v>
      </c>
      <c r="AE102">
        <v>10258428</v>
      </c>
      <c r="AF102">
        <v>170631</v>
      </c>
      <c r="AH102" t="s">
        <v>50</v>
      </c>
      <c r="AI102" t="s">
        <v>50</v>
      </c>
      <c r="AJ102" t="s">
        <v>51</v>
      </c>
      <c r="AK102" t="s">
        <v>50</v>
      </c>
      <c r="AM102" t="s">
        <v>49</v>
      </c>
      <c r="AN102" t="s">
        <v>664</v>
      </c>
    </row>
    <row r="103" spans="1:40" x14ac:dyDescent="0.2">
      <c r="A103">
        <v>348674</v>
      </c>
      <c r="B103" t="s">
        <v>665</v>
      </c>
      <c r="C103" t="str">
        <f>"9780253350718"</f>
        <v>9780253350718</v>
      </c>
      <c r="D103" t="str">
        <f>"9780253000170"</f>
        <v>9780253000170</v>
      </c>
      <c r="E103" t="s">
        <v>666</v>
      </c>
      <c r="F103" t="s">
        <v>666</v>
      </c>
      <c r="G103" s="1">
        <v>39483</v>
      </c>
      <c r="H103" s="1">
        <v>39638</v>
      </c>
      <c r="I103" t="s">
        <v>43</v>
      </c>
      <c r="L103" t="s">
        <v>667</v>
      </c>
      <c r="M103" t="s">
        <v>91</v>
      </c>
      <c r="N103" t="s">
        <v>668</v>
      </c>
      <c r="O103" t="s">
        <v>669</v>
      </c>
      <c r="P103" t="s">
        <v>670</v>
      </c>
      <c r="Q103" t="s">
        <v>48</v>
      </c>
      <c r="R103" t="s">
        <v>49</v>
      </c>
      <c r="S103" t="s">
        <v>50</v>
      </c>
      <c r="T103" t="s">
        <v>50</v>
      </c>
      <c r="U103" t="s">
        <v>49</v>
      </c>
      <c r="V103" t="s">
        <v>49</v>
      </c>
      <c r="W103" t="s">
        <v>50</v>
      </c>
      <c r="X103" t="s">
        <v>50</v>
      </c>
      <c r="Y103" t="s">
        <v>50</v>
      </c>
      <c r="Z103">
        <v>9.99</v>
      </c>
      <c r="AA103">
        <v>12.49</v>
      </c>
      <c r="AB103">
        <v>9.99</v>
      </c>
      <c r="AC103">
        <v>14.98</v>
      </c>
      <c r="AD103" t="s">
        <v>49</v>
      </c>
      <c r="AE103">
        <v>10235123</v>
      </c>
      <c r="AF103">
        <v>172643</v>
      </c>
      <c r="AH103" t="s">
        <v>49</v>
      </c>
      <c r="AI103" t="s">
        <v>50</v>
      </c>
      <c r="AJ103" t="s">
        <v>51</v>
      </c>
      <c r="AK103" t="s">
        <v>50</v>
      </c>
      <c r="AM103" t="s">
        <v>49</v>
      </c>
      <c r="AN103" t="s">
        <v>671</v>
      </c>
    </row>
    <row r="104" spans="1:40" x14ac:dyDescent="0.2">
      <c r="A104">
        <v>350324</v>
      </c>
      <c r="B104" t="s">
        <v>672</v>
      </c>
      <c r="C104" t="str">
        <f>"9781843103400"</f>
        <v>9781843103400</v>
      </c>
      <c r="D104" t="str">
        <f>"9781846427596"</f>
        <v>9781846427596</v>
      </c>
      <c r="E104" t="s">
        <v>673</v>
      </c>
      <c r="F104" t="s">
        <v>673</v>
      </c>
      <c r="G104" s="1">
        <v>39465</v>
      </c>
      <c r="H104" s="1">
        <v>39771</v>
      </c>
      <c r="I104" t="s">
        <v>43</v>
      </c>
      <c r="J104">
        <v>1</v>
      </c>
      <c r="L104" t="s">
        <v>674</v>
      </c>
      <c r="M104" t="s">
        <v>675</v>
      </c>
      <c r="N104" t="s">
        <v>676</v>
      </c>
      <c r="O104" t="s">
        <v>677</v>
      </c>
      <c r="P104" t="s">
        <v>678</v>
      </c>
      <c r="Q104" t="s">
        <v>48</v>
      </c>
      <c r="R104" t="s">
        <v>49</v>
      </c>
      <c r="S104" t="s">
        <v>50</v>
      </c>
      <c r="T104" t="s">
        <v>50</v>
      </c>
      <c r="U104" t="s">
        <v>49</v>
      </c>
      <c r="V104" t="s">
        <v>49</v>
      </c>
      <c r="W104" t="s">
        <v>50</v>
      </c>
      <c r="X104" t="s">
        <v>49</v>
      </c>
      <c r="Y104" t="s">
        <v>50</v>
      </c>
      <c r="Z104">
        <v>44.92</v>
      </c>
      <c r="AA104">
        <v>44.92</v>
      </c>
      <c r="AB104">
        <v>29.95</v>
      </c>
      <c r="AC104">
        <v>59.9</v>
      </c>
      <c r="AD104" t="s">
        <v>49</v>
      </c>
      <c r="AE104">
        <v>10251472</v>
      </c>
      <c r="AF104">
        <v>178190</v>
      </c>
      <c r="AH104" t="s">
        <v>49</v>
      </c>
      <c r="AI104" t="s">
        <v>50</v>
      </c>
      <c r="AJ104" t="s">
        <v>51</v>
      </c>
      <c r="AK104" t="s">
        <v>50</v>
      </c>
      <c r="AM104" t="s">
        <v>49</v>
      </c>
      <c r="AN104" t="s">
        <v>679</v>
      </c>
    </row>
    <row r="105" spans="1:40" x14ac:dyDescent="0.2">
      <c r="A105">
        <v>350985</v>
      </c>
      <c r="B105" t="s">
        <v>680</v>
      </c>
      <c r="C105" t="str">
        <f>"9781405126366"</f>
        <v>9781405126366</v>
      </c>
      <c r="D105" t="str">
        <f>"9780470994870"</f>
        <v>9780470994870</v>
      </c>
      <c r="E105" t="s">
        <v>54</v>
      </c>
      <c r="F105" t="s">
        <v>192</v>
      </c>
      <c r="G105" s="1">
        <v>37182</v>
      </c>
      <c r="H105" s="1">
        <v>40696</v>
      </c>
      <c r="I105" t="s">
        <v>43</v>
      </c>
      <c r="J105">
        <v>5</v>
      </c>
      <c r="L105" t="s">
        <v>681</v>
      </c>
      <c r="M105" t="s">
        <v>682</v>
      </c>
      <c r="N105" t="s">
        <v>683</v>
      </c>
      <c r="O105">
        <v>616.99400000000003</v>
      </c>
      <c r="P105" t="s">
        <v>684</v>
      </c>
      <c r="Q105" t="s">
        <v>48</v>
      </c>
      <c r="R105" t="s">
        <v>50</v>
      </c>
      <c r="S105" t="s">
        <v>50</v>
      </c>
      <c r="T105" t="s">
        <v>50</v>
      </c>
      <c r="U105" t="s">
        <v>49</v>
      </c>
      <c r="V105" t="s">
        <v>49</v>
      </c>
      <c r="W105" t="s">
        <v>50</v>
      </c>
      <c r="X105" t="s">
        <v>49</v>
      </c>
      <c r="Y105" t="s">
        <v>50</v>
      </c>
      <c r="Z105">
        <v>133.41999999999999</v>
      </c>
      <c r="AA105">
        <v>133.41999999999999</v>
      </c>
      <c r="AB105">
        <v>88.95</v>
      </c>
      <c r="AD105" t="s">
        <v>49</v>
      </c>
      <c r="AE105">
        <v>10236666</v>
      </c>
      <c r="AF105">
        <v>132040</v>
      </c>
      <c r="AH105" t="s">
        <v>50</v>
      </c>
      <c r="AI105" t="s">
        <v>50</v>
      </c>
      <c r="AJ105" t="s">
        <v>51</v>
      </c>
      <c r="AK105" t="s">
        <v>50</v>
      </c>
      <c r="AM105" t="s">
        <v>49</v>
      </c>
      <c r="AN105" t="s">
        <v>685</v>
      </c>
    </row>
    <row r="106" spans="1:40" x14ac:dyDescent="0.2">
      <c r="A106">
        <v>351385</v>
      </c>
      <c r="B106" t="s">
        <v>686</v>
      </c>
      <c r="C106" t="str">
        <f>"9781405100281"</f>
        <v>9781405100281</v>
      </c>
      <c r="D106" t="str">
        <f>"9780470777497"</f>
        <v>9780470777497</v>
      </c>
      <c r="E106" t="s">
        <v>54</v>
      </c>
      <c r="F106" t="s">
        <v>192</v>
      </c>
      <c r="G106" s="1">
        <v>37697</v>
      </c>
      <c r="H106" s="1">
        <v>40696</v>
      </c>
      <c r="I106" t="s">
        <v>43</v>
      </c>
      <c r="J106">
        <v>1</v>
      </c>
      <c r="L106" t="s">
        <v>687</v>
      </c>
      <c r="M106" t="s">
        <v>688</v>
      </c>
      <c r="N106" t="s">
        <v>689</v>
      </c>
      <c r="O106" t="s">
        <v>690</v>
      </c>
      <c r="P106" t="s">
        <v>691</v>
      </c>
      <c r="Q106" t="s">
        <v>48</v>
      </c>
      <c r="R106" t="s">
        <v>50</v>
      </c>
      <c r="S106" t="s">
        <v>50</v>
      </c>
      <c r="T106" t="s">
        <v>50</v>
      </c>
      <c r="U106" t="s">
        <v>49</v>
      </c>
      <c r="V106" t="s">
        <v>49</v>
      </c>
      <c r="W106" t="s">
        <v>50</v>
      </c>
      <c r="X106" t="s">
        <v>49</v>
      </c>
      <c r="Y106" t="s">
        <v>50</v>
      </c>
      <c r="Z106">
        <v>84</v>
      </c>
      <c r="AA106">
        <v>84</v>
      </c>
      <c r="AB106">
        <v>56</v>
      </c>
      <c r="AC106">
        <v>98</v>
      </c>
      <c r="AD106" t="s">
        <v>49</v>
      </c>
      <c r="AE106">
        <v>10301404</v>
      </c>
      <c r="AF106">
        <v>131925</v>
      </c>
      <c r="AH106" t="s">
        <v>50</v>
      </c>
      <c r="AI106" t="s">
        <v>50</v>
      </c>
      <c r="AJ106" t="s">
        <v>51</v>
      </c>
      <c r="AK106" t="s">
        <v>50</v>
      </c>
      <c r="AM106" t="s">
        <v>49</v>
      </c>
      <c r="AN106" t="s">
        <v>692</v>
      </c>
    </row>
    <row r="107" spans="1:40" x14ac:dyDescent="0.2">
      <c r="A107">
        <v>351527</v>
      </c>
      <c r="B107" t="s">
        <v>693</v>
      </c>
      <c r="C107" t="str">
        <f>"9781405118637"</f>
        <v>9781405118637</v>
      </c>
      <c r="D107" t="str">
        <f>"9780470777534"</f>
        <v>9780470777534</v>
      </c>
      <c r="E107" t="s">
        <v>54</v>
      </c>
      <c r="F107" t="s">
        <v>192</v>
      </c>
      <c r="G107" s="1">
        <v>38593</v>
      </c>
      <c r="H107" s="1">
        <v>40696</v>
      </c>
      <c r="I107" t="s">
        <v>43</v>
      </c>
      <c r="J107">
        <v>3</v>
      </c>
      <c r="L107" t="s">
        <v>694</v>
      </c>
      <c r="M107" t="s">
        <v>682</v>
      </c>
      <c r="N107" t="s">
        <v>695</v>
      </c>
      <c r="O107">
        <v>617.1</v>
      </c>
      <c r="P107" t="s">
        <v>696</v>
      </c>
      <c r="Q107" t="s">
        <v>48</v>
      </c>
      <c r="R107" t="s">
        <v>50</v>
      </c>
      <c r="S107" t="s">
        <v>50</v>
      </c>
      <c r="T107" t="s">
        <v>50</v>
      </c>
      <c r="U107" t="s">
        <v>50</v>
      </c>
      <c r="V107" t="s">
        <v>49</v>
      </c>
      <c r="W107" t="s">
        <v>50</v>
      </c>
      <c r="X107" t="s">
        <v>50</v>
      </c>
      <c r="Y107" t="s">
        <v>50</v>
      </c>
      <c r="AD107" t="s">
        <v>49</v>
      </c>
      <c r="AE107">
        <v>10236606</v>
      </c>
      <c r="AF107">
        <v>131928</v>
      </c>
      <c r="AH107" t="s">
        <v>49</v>
      </c>
      <c r="AI107" t="s">
        <v>50</v>
      </c>
      <c r="AJ107" t="s">
        <v>51</v>
      </c>
      <c r="AK107" t="s">
        <v>50</v>
      </c>
      <c r="AM107" t="s">
        <v>49</v>
      </c>
      <c r="AN107" t="s">
        <v>697</v>
      </c>
    </row>
    <row r="108" spans="1:40" x14ac:dyDescent="0.2">
      <c r="A108">
        <v>351529</v>
      </c>
      <c r="B108" t="s">
        <v>698</v>
      </c>
      <c r="C108" t="str">
        <f>"9781405106900"</f>
        <v>9781405106900</v>
      </c>
      <c r="D108" t="str">
        <f>"9780470759110"</f>
        <v>9780470759110</v>
      </c>
      <c r="E108" t="s">
        <v>54</v>
      </c>
      <c r="F108" t="s">
        <v>192</v>
      </c>
      <c r="G108" s="1">
        <v>38380</v>
      </c>
      <c r="H108" s="1">
        <v>39661</v>
      </c>
      <c r="I108" t="s">
        <v>43</v>
      </c>
      <c r="J108">
        <v>1</v>
      </c>
      <c r="L108" t="s">
        <v>699</v>
      </c>
      <c r="M108" t="s">
        <v>91</v>
      </c>
      <c r="N108" t="s">
        <v>700</v>
      </c>
      <c r="O108">
        <v>973.7</v>
      </c>
      <c r="P108" t="s">
        <v>701</v>
      </c>
      <c r="Q108" t="s">
        <v>48</v>
      </c>
      <c r="R108" t="s">
        <v>50</v>
      </c>
      <c r="S108" t="s">
        <v>50</v>
      </c>
      <c r="T108" t="s">
        <v>50</v>
      </c>
      <c r="U108" t="s">
        <v>49</v>
      </c>
      <c r="V108" t="s">
        <v>49</v>
      </c>
      <c r="W108" t="s">
        <v>50</v>
      </c>
      <c r="X108" t="s">
        <v>49</v>
      </c>
      <c r="Y108" t="s">
        <v>50</v>
      </c>
      <c r="Z108">
        <v>238.5</v>
      </c>
      <c r="AA108">
        <v>238.5</v>
      </c>
      <c r="AB108">
        <v>159</v>
      </c>
      <c r="AC108">
        <v>278.25</v>
      </c>
      <c r="AD108" t="s">
        <v>49</v>
      </c>
      <c r="AE108">
        <v>10233005</v>
      </c>
      <c r="AF108">
        <v>132140</v>
      </c>
      <c r="AH108" t="s">
        <v>50</v>
      </c>
      <c r="AI108" t="s">
        <v>50</v>
      </c>
      <c r="AJ108" t="s">
        <v>51</v>
      </c>
      <c r="AK108" t="s">
        <v>50</v>
      </c>
      <c r="AM108" t="s">
        <v>49</v>
      </c>
      <c r="AN108" t="s">
        <v>702</v>
      </c>
    </row>
    <row r="109" spans="1:40" x14ac:dyDescent="0.2">
      <c r="A109">
        <v>351561</v>
      </c>
      <c r="B109" t="s">
        <v>703</v>
      </c>
      <c r="C109" t="str">
        <f>"9781861560964"</f>
        <v>9781861560964</v>
      </c>
      <c r="D109" t="str">
        <f>"9780470727164"</f>
        <v>9780470727164</v>
      </c>
      <c r="E109" t="s">
        <v>54</v>
      </c>
      <c r="F109" t="s">
        <v>54</v>
      </c>
      <c r="G109" s="1">
        <v>39553</v>
      </c>
      <c r="H109" s="1">
        <v>39661</v>
      </c>
      <c r="I109" t="s">
        <v>43</v>
      </c>
      <c r="J109">
        <v>2</v>
      </c>
      <c r="K109" t="s">
        <v>377</v>
      </c>
      <c r="L109" t="s">
        <v>704</v>
      </c>
      <c r="M109" t="s">
        <v>379</v>
      </c>
      <c r="N109" t="s">
        <v>705</v>
      </c>
      <c r="O109">
        <v>610.73069999999996</v>
      </c>
      <c r="P109" t="s">
        <v>706</v>
      </c>
      <c r="Q109" t="s">
        <v>48</v>
      </c>
      <c r="R109" t="s">
        <v>49</v>
      </c>
      <c r="S109" t="s">
        <v>50</v>
      </c>
      <c r="T109" t="s">
        <v>50</v>
      </c>
      <c r="U109" t="s">
        <v>49</v>
      </c>
      <c r="V109" t="s">
        <v>49</v>
      </c>
      <c r="W109" t="s">
        <v>50</v>
      </c>
      <c r="X109" t="s">
        <v>49</v>
      </c>
      <c r="Y109" t="s">
        <v>50</v>
      </c>
      <c r="Z109">
        <v>123.38</v>
      </c>
      <c r="AA109">
        <v>123.38</v>
      </c>
      <c r="AB109">
        <v>82.25</v>
      </c>
      <c r="AC109">
        <v>143.94</v>
      </c>
      <c r="AD109" t="s">
        <v>49</v>
      </c>
      <c r="AE109">
        <v>10233243</v>
      </c>
      <c r="AF109">
        <v>132197</v>
      </c>
      <c r="AH109" t="s">
        <v>49</v>
      </c>
      <c r="AI109" t="s">
        <v>50</v>
      </c>
      <c r="AJ109" t="s">
        <v>51</v>
      </c>
      <c r="AK109" t="s">
        <v>50</v>
      </c>
      <c r="AM109" t="s">
        <v>49</v>
      </c>
      <c r="AN109" t="s">
        <v>707</v>
      </c>
    </row>
    <row r="110" spans="1:40" x14ac:dyDescent="0.2">
      <c r="A110">
        <v>351634</v>
      </c>
      <c r="B110" t="s">
        <v>708</v>
      </c>
      <c r="C110" t="str">
        <f>"9781118781593"</f>
        <v>9781118781593</v>
      </c>
      <c r="D110" t="str">
        <f>"9780470691151"</f>
        <v>9780470691151</v>
      </c>
      <c r="E110" t="s">
        <v>54</v>
      </c>
      <c r="F110" t="s">
        <v>192</v>
      </c>
      <c r="G110" s="1">
        <v>39329</v>
      </c>
      <c r="H110" s="1">
        <v>39661</v>
      </c>
      <c r="I110" t="s">
        <v>43</v>
      </c>
      <c r="J110">
        <v>1</v>
      </c>
      <c r="K110" t="s">
        <v>709</v>
      </c>
      <c r="L110" t="s">
        <v>710</v>
      </c>
      <c r="M110" t="s">
        <v>711</v>
      </c>
      <c r="N110" t="s">
        <v>712</v>
      </c>
      <c r="O110">
        <v>720.28800000000001</v>
      </c>
      <c r="P110" t="s">
        <v>713</v>
      </c>
      <c r="Q110" t="s">
        <v>48</v>
      </c>
      <c r="R110" t="s">
        <v>50</v>
      </c>
      <c r="S110" t="s">
        <v>50</v>
      </c>
      <c r="T110" t="s">
        <v>50</v>
      </c>
      <c r="U110" t="s">
        <v>50</v>
      </c>
      <c r="V110" t="s">
        <v>49</v>
      </c>
      <c r="W110" t="s">
        <v>50</v>
      </c>
      <c r="X110" t="s">
        <v>50</v>
      </c>
      <c r="Y110" t="s">
        <v>50</v>
      </c>
      <c r="AD110" t="s">
        <v>49</v>
      </c>
      <c r="AE110">
        <v>10233135</v>
      </c>
      <c r="AF110">
        <v>131888</v>
      </c>
      <c r="AH110" t="s">
        <v>49</v>
      </c>
      <c r="AI110" t="s">
        <v>50</v>
      </c>
      <c r="AJ110" t="s">
        <v>51</v>
      </c>
      <c r="AK110" t="s">
        <v>50</v>
      </c>
      <c r="AM110" t="s">
        <v>49</v>
      </c>
      <c r="AN110" t="s">
        <v>714</v>
      </c>
    </row>
    <row r="111" spans="1:40" x14ac:dyDescent="0.2">
      <c r="A111">
        <v>352273</v>
      </c>
      <c r="B111" t="s">
        <v>715</v>
      </c>
      <c r="C111" t="str">
        <f>"9781593856526"</f>
        <v>9781593856526</v>
      </c>
      <c r="D111" t="str">
        <f>"9781606230459"</f>
        <v>9781606230459</v>
      </c>
      <c r="E111" t="s">
        <v>619</v>
      </c>
      <c r="F111" t="s">
        <v>620</v>
      </c>
      <c r="G111" s="1">
        <v>39534</v>
      </c>
      <c r="H111" s="1">
        <v>39662</v>
      </c>
      <c r="I111" t="s">
        <v>43</v>
      </c>
      <c r="L111" t="s">
        <v>716</v>
      </c>
      <c r="M111" t="s">
        <v>571</v>
      </c>
      <c r="N111" t="s">
        <v>717</v>
      </c>
      <c r="O111" t="s">
        <v>718</v>
      </c>
      <c r="P111" t="s">
        <v>719</v>
      </c>
      <c r="Q111" t="s">
        <v>48</v>
      </c>
      <c r="R111" t="s">
        <v>49</v>
      </c>
      <c r="S111" t="s">
        <v>50</v>
      </c>
      <c r="T111" t="s">
        <v>50</v>
      </c>
      <c r="U111" t="s">
        <v>49</v>
      </c>
      <c r="V111" t="s">
        <v>49</v>
      </c>
      <c r="W111" t="s">
        <v>50</v>
      </c>
      <c r="X111" t="s">
        <v>49</v>
      </c>
      <c r="Y111" t="s">
        <v>50</v>
      </c>
      <c r="Z111">
        <v>220.5</v>
      </c>
      <c r="AA111">
        <v>189</v>
      </c>
      <c r="AB111">
        <v>126</v>
      </c>
      <c r="AC111">
        <v>283.5</v>
      </c>
      <c r="AD111" t="s">
        <v>49</v>
      </c>
      <c r="AE111">
        <v>10237045</v>
      </c>
      <c r="AF111">
        <v>175308</v>
      </c>
      <c r="AH111" t="s">
        <v>49</v>
      </c>
      <c r="AI111" t="s">
        <v>50</v>
      </c>
      <c r="AJ111" t="s">
        <v>51</v>
      </c>
      <c r="AK111" t="s">
        <v>50</v>
      </c>
      <c r="AM111" t="s">
        <v>49</v>
      </c>
      <c r="AN111" t="s">
        <v>720</v>
      </c>
    </row>
    <row r="112" spans="1:40" x14ac:dyDescent="0.2">
      <c r="A112">
        <v>352291</v>
      </c>
      <c r="B112" t="s">
        <v>721</v>
      </c>
      <c r="C112" t="str">
        <f>"9781593857066"</f>
        <v>9781593857066</v>
      </c>
      <c r="D112" t="str">
        <f>"9781606230633"</f>
        <v>9781606230633</v>
      </c>
      <c r="E112" t="s">
        <v>619</v>
      </c>
      <c r="F112" t="s">
        <v>620</v>
      </c>
      <c r="G112" s="1">
        <v>39575</v>
      </c>
      <c r="H112" s="1">
        <v>39664</v>
      </c>
      <c r="I112" t="s">
        <v>43</v>
      </c>
      <c r="L112" t="s">
        <v>722</v>
      </c>
      <c r="M112" t="s">
        <v>571</v>
      </c>
      <c r="N112" t="s">
        <v>723</v>
      </c>
      <c r="O112" t="s">
        <v>724</v>
      </c>
      <c r="P112" t="s">
        <v>725</v>
      </c>
      <c r="Q112" t="s">
        <v>48</v>
      </c>
      <c r="R112" t="s">
        <v>49</v>
      </c>
      <c r="S112" t="s">
        <v>50</v>
      </c>
      <c r="T112" t="s">
        <v>50</v>
      </c>
      <c r="U112" t="s">
        <v>49</v>
      </c>
      <c r="V112" t="s">
        <v>49</v>
      </c>
      <c r="W112" t="s">
        <v>50</v>
      </c>
      <c r="X112" t="s">
        <v>49</v>
      </c>
      <c r="Y112" t="s">
        <v>50</v>
      </c>
      <c r="Z112">
        <v>98</v>
      </c>
      <c r="AA112">
        <v>84</v>
      </c>
      <c r="AB112">
        <v>56</v>
      </c>
      <c r="AC112">
        <v>126</v>
      </c>
      <c r="AD112" t="s">
        <v>49</v>
      </c>
      <c r="AE112">
        <v>10237029</v>
      </c>
      <c r="AF112">
        <v>175307</v>
      </c>
      <c r="AH112" t="s">
        <v>49</v>
      </c>
      <c r="AI112" t="s">
        <v>50</v>
      </c>
      <c r="AJ112" t="s">
        <v>51</v>
      </c>
      <c r="AK112" t="s">
        <v>50</v>
      </c>
      <c r="AM112" t="s">
        <v>49</v>
      </c>
      <c r="AN112" t="s">
        <v>726</v>
      </c>
    </row>
    <row r="113" spans="1:40" x14ac:dyDescent="0.2">
      <c r="A113">
        <v>353347</v>
      </c>
      <c r="B113" t="s">
        <v>727</v>
      </c>
      <c r="C113" t="str">
        <f>"9780470189702"</f>
        <v>9780470189702</v>
      </c>
      <c r="D113" t="str">
        <f>"9780470381465"</f>
        <v>9780470381465</v>
      </c>
      <c r="E113" t="s">
        <v>54</v>
      </c>
      <c r="F113" t="s">
        <v>55</v>
      </c>
      <c r="G113" s="1">
        <v>39727</v>
      </c>
      <c r="H113" s="1">
        <v>39678</v>
      </c>
      <c r="I113" t="s">
        <v>43</v>
      </c>
      <c r="J113">
        <v>2</v>
      </c>
      <c r="K113" t="s">
        <v>728</v>
      </c>
      <c r="L113" t="s">
        <v>729</v>
      </c>
      <c r="M113" t="s">
        <v>571</v>
      </c>
      <c r="N113" t="s">
        <v>730</v>
      </c>
      <c r="O113">
        <v>618.92858899999999</v>
      </c>
      <c r="P113" t="s">
        <v>731</v>
      </c>
      <c r="Q113" t="s">
        <v>48</v>
      </c>
      <c r="R113" t="s">
        <v>49</v>
      </c>
      <c r="S113" t="s">
        <v>50</v>
      </c>
      <c r="T113" t="s">
        <v>50</v>
      </c>
      <c r="U113" t="s">
        <v>49</v>
      </c>
      <c r="V113" t="s">
        <v>49</v>
      </c>
      <c r="W113" t="s">
        <v>50</v>
      </c>
      <c r="X113" t="s">
        <v>49</v>
      </c>
      <c r="Y113" t="s">
        <v>50</v>
      </c>
      <c r="Z113">
        <v>25.42</v>
      </c>
      <c r="AA113">
        <v>25.42</v>
      </c>
      <c r="AB113">
        <v>16.95</v>
      </c>
      <c r="AC113">
        <v>29.66</v>
      </c>
      <c r="AD113" t="s">
        <v>49</v>
      </c>
      <c r="AE113">
        <v>10250325</v>
      </c>
      <c r="AF113">
        <v>175204</v>
      </c>
      <c r="AH113" t="s">
        <v>50</v>
      </c>
      <c r="AI113" t="s">
        <v>50</v>
      </c>
      <c r="AJ113" t="s">
        <v>51</v>
      </c>
      <c r="AK113" t="s">
        <v>50</v>
      </c>
      <c r="AM113" t="s">
        <v>49</v>
      </c>
      <c r="AN113" t="s">
        <v>732</v>
      </c>
    </row>
    <row r="114" spans="1:40" x14ac:dyDescent="0.2">
      <c r="A114">
        <v>353429</v>
      </c>
      <c r="B114" t="s">
        <v>733</v>
      </c>
      <c r="C114" t="str">
        <f>"9780470228524"</f>
        <v>9780470228524</v>
      </c>
      <c r="D114" t="str">
        <f>"9780470293249"</f>
        <v>9780470293249</v>
      </c>
      <c r="E114" t="s">
        <v>54</v>
      </c>
      <c r="F114" t="s">
        <v>168</v>
      </c>
      <c r="G114" s="1">
        <v>39601</v>
      </c>
      <c r="H114" s="1">
        <v>39678</v>
      </c>
      <c r="I114" t="s">
        <v>43</v>
      </c>
      <c r="J114">
        <v>1</v>
      </c>
      <c r="K114" t="s">
        <v>435</v>
      </c>
      <c r="L114" t="s">
        <v>170</v>
      </c>
      <c r="M114" t="s">
        <v>171</v>
      </c>
      <c r="N114" t="s">
        <v>734</v>
      </c>
      <c r="O114">
        <v>745.54</v>
      </c>
      <c r="P114" t="s">
        <v>735</v>
      </c>
      <c r="Q114" t="s">
        <v>48</v>
      </c>
      <c r="R114" t="s">
        <v>50</v>
      </c>
      <c r="S114" t="s">
        <v>50</v>
      </c>
      <c r="T114" t="s">
        <v>50</v>
      </c>
      <c r="U114" t="s">
        <v>49</v>
      </c>
      <c r="V114" t="s">
        <v>49</v>
      </c>
      <c r="W114" t="s">
        <v>50</v>
      </c>
      <c r="X114" t="s">
        <v>49</v>
      </c>
      <c r="Y114" t="s">
        <v>50</v>
      </c>
      <c r="Z114">
        <v>22.48</v>
      </c>
      <c r="AA114">
        <v>22.48</v>
      </c>
      <c r="AB114">
        <v>14.99</v>
      </c>
      <c r="AD114" t="s">
        <v>49</v>
      </c>
      <c r="AE114">
        <v>10296793</v>
      </c>
      <c r="AF114">
        <v>138164</v>
      </c>
      <c r="AH114" t="s">
        <v>50</v>
      </c>
      <c r="AI114" t="s">
        <v>50</v>
      </c>
      <c r="AJ114" t="s">
        <v>51</v>
      </c>
      <c r="AK114" t="s">
        <v>50</v>
      </c>
      <c r="AM114" t="s">
        <v>49</v>
      </c>
      <c r="AN114" t="s">
        <v>736</v>
      </c>
    </row>
    <row r="115" spans="1:40" x14ac:dyDescent="0.2">
      <c r="A115">
        <v>354712</v>
      </c>
      <c r="B115" t="s">
        <v>737</v>
      </c>
      <c r="C115" t="str">
        <f>"9781897635926"</f>
        <v>9781897635926</v>
      </c>
      <c r="D115" t="str">
        <f>"9780470778043"</f>
        <v>9780470778043</v>
      </c>
      <c r="E115" t="s">
        <v>54</v>
      </c>
      <c r="F115" t="s">
        <v>54</v>
      </c>
      <c r="G115" s="1">
        <v>38974</v>
      </c>
      <c r="H115" s="1">
        <v>40696</v>
      </c>
      <c r="I115" t="s">
        <v>43</v>
      </c>
      <c r="J115">
        <v>1</v>
      </c>
      <c r="L115" t="s">
        <v>738</v>
      </c>
      <c r="M115" t="s">
        <v>675</v>
      </c>
      <c r="N115" t="s">
        <v>739</v>
      </c>
      <c r="O115" t="s">
        <v>740</v>
      </c>
      <c r="P115" t="s">
        <v>741</v>
      </c>
      <c r="Q115" t="s">
        <v>48</v>
      </c>
      <c r="R115" t="s">
        <v>49</v>
      </c>
      <c r="S115" t="s">
        <v>50</v>
      </c>
      <c r="T115" t="s">
        <v>50</v>
      </c>
      <c r="U115" t="s">
        <v>49</v>
      </c>
      <c r="V115" t="s">
        <v>49</v>
      </c>
      <c r="W115" t="s">
        <v>50</v>
      </c>
      <c r="X115" t="s">
        <v>49</v>
      </c>
      <c r="Y115" t="s">
        <v>50</v>
      </c>
      <c r="Z115">
        <v>126.38</v>
      </c>
      <c r="AA115">
        <v>126.38</v>
      </c>
      <c r="AB115">
        <v>84.25</v>
      </c>
      <c r="AC115">
        <v>147.44</v>
      </c>
      <c r="AD115" t="s">
        <v>49</v>
      </c>
      <c r="AE115">
        <v>10236677</v>
      </c>
      <c r="AF115">
        <v>131955</v>
      </c>
      <c r="AH115" t="s">
        <v>50</v>
      </c>
      <c r="AI115" t="s">
        <v>50</v>
      </c>
      <c r="AJ115" t="s">
        <v>51</v>
      </c>
      <c r="AK115" t="s">
        <v>50</v>
      </c>
      <c r="AM115" t="s">
        <v>49</v>
      </c>
      <c r="AN115" t="s">
        <v>742</v>
      </c>
    </row>
    <row r="116" spans="1:40" x14ac:dyDescent="0.2">
      <c r="A116">
        <v>355957</v>
      </c>
      <c r="B116" t="s">
        <v>743</v>
      </c>
      <c r="C116" t="str">
        <f>"9780415415729"</f>
        <v>9780415415729</v>
      </c>
      <c r="D116" t="str">
        <f>"9780203088814"</f>
        <v>9780203088814</v>
      </c>
      <c r="E116" t="s">
        <v>42</v>
      </c>
      <c r="F116" t="s">
        <v>42</v>
      </c>
      <c r="G116" s="1">
        <v>39202</v>
      </c>
      <c r="H116" s="1">
        <v>39703</v>
      </c>
      <c r="I116" t="s">
        <v>43</v>
      </c>
      <c r="K116" t="s">
        <v>294</v>
      </c>
      <c r="L116" t="s">
        <v>744</v>
      </c>
      <c r="M116" t="s">
        <v>45</v>
      </c>
      <c r="N116" t="s">
        <v>745</v>
      </c>
      <c r="O116">
        <v>492.782421</v>
      </c>
      <c r="P116" t="s">
        <v>746</v>
      </c>
      <c r="Q116" t="s">
        <v>48</v>
      </c>
      <c r="R116" t="s">
        <v>50</v>
      </c>
      <c r="S116" t="s">
        <v>50</v>
      </c>
      <c r="T116" t="s">
        <v>50</v>
      </c>
      <c r="U116" t="s">
        <v>49</v>
      </c>
      <c r="V116" t="s">
        <v>49</v>
      </c>
      <c r="W116" t="s">
        <v>50</v>
      </c>
      <c r="X116" t="s">
        <v>49</v>
      </c>
      <c r="Y116" t="s">
        <v>50</v>
      </c>
      <c r="Z116">
        <v>240</v>
      </c>
      <c r="AA116">
        <v>200</v>
      </c>
      <c r="AB116">
        <v>160</v>
      </c>
      <c r="AC116">
        <v>240</v>
      </c>
      <c r="AD116" t="s">
        <v>49</v>
      </c>
      <c r="AE116">
        <v>10182375</v>
      </c>
      <c r="AF116">
        <v>87211</v>
      </c>
      <c r="AH116" t="s">
        <v>50</v>
      </c>
      <c r="AI116" t="s">
        <v>50</v>
      </c>
      <c r="AJ116" t="s">
        <v>51</v>
      </c>
      <c r="AK116" t="s">
        <v>50</v>
      </c>
      <c r="AM116" t="s">
        <v>49</v>
      </c>
      <c r="AN116" t="s">
        <v>747</v>
      </c>
    </row>
    <row r="117" spans="1:40" x14ac:dyDescent="0.2">
      <c r="A117">
        <v>355959</v>
      </c>
      <c r="B117" t="s">
        <v>748</v>
      </c>
      <c r="C117" t="str">
        <f>"9780415319768"</f>
        <v>9780415319768</v>
      </c>
      <c r="D117" t="str">
        <f>"9780203627198"</f>
        <v>9780203627198</v>
      </c>
      <c r="E117" t="s">
        <v>41</v>
      </c>
      <c r="F117" t="s">
        <v>42</v>
      </c>
      <c r="G117" s="1">
        <v>39021</v>
      </c>
      <c r="H117" s="1">
        <v>39703</v>
      </c>
      <c r="I117" t="s">
        <v>43</v>
      </c>
      <c r="K117" t="s">
        <v>460</v>
      </c>
      <c r="L117" t="s">
        <v>749</v>
      </c>
      <c r="M117" t="s">
        <v>171</v>
      </c>
      <c r="N117" t="s">
        <v>750</v>
      </c>
      <c r="O117">
        <v>709</v>
      </c>
      <c r="P117" t="s">
        <v>751</v>
      </c>
      <c r="Q117" t="s">
        <v>48</v>
      </c>
      <c r="R117" t="s">
        <v>49</v>
      </c>
      <c r="S117" t="s">
        <v>50</v>
      </c>
      <c r="T117" t="s">
        <v>50</v>
      </c>
      <c r="U117" t="s">
        <v>49</v>
      </c>
      <c r="V117" t="s">
        <v>49</v>
      </c>
      <c r="W117" t="s">
        <v>50</v>
      </c>
      <c r="X117" t="s">
        <v>49</v>
      </c>
      <c r="Y117" t="s">
        <v>50</v>
      </c>
      <c r="AA117">
        <v>218.75</v>
      </c>
      <c r="AB117">
        <v>175</v>
      </c>
      <c r="AC117">
        <v>262.5</v>
      </c>
      <c r="AD117" t="s">
        <v>49</v>
      </c>
      <c r="AE117">
        <v>10152233</v>
      </c>
      <c r="AF117">
        <v>131319</v>
      </c>
      <c r="AH117" t="s">
        <v>50</v>
      </c>
      <c r="AI117" t="s">
        <v>50</v>
      </c>
      <c r="AJ117" t="s">
        <v>51</v>
      </c>
      <c r="AK117" t="s">
        <v>50</v>
      </c>
      <c r="AM117" t="s">
        <v>49</v>
      </c>
      <c r="AN117" t="s">
        <v>752</v>
      </c>
    </row>
    <row r="118" spans="1:40" x14ac:dyDescent="0.2">
      <c r="A118">
        <v>358310</v>
      </c>
      <c r="B118" t="s">
        <v>753</v>
      </c>
      <c r="C118" t="str">
        <f>"9780813542690"</f>
        <v>9780813542690</v>
      </c>
      <c r="D118" t="str">
        <f>"9780813544755"</f>
        <v>9780813544755</v>
      </c>
      <c r="E118" t="s">
        <v>633</v>
      </c>
      <c r="F118" t="s">
        <v>633</v>
      </c>
      <c r="G118" s="1">
        <v>39508</v>
      </c>
      <c r="H118" s="1">
        <v>39711</v>
      </c>
      <c r="I118" t="s">
        <v>43</v>
      </c>
      <c r="J118">
        <v>1</v>
      </c>
      <c r="L118" t="s">
        <v>754</v>
      </c>
      <c r="M118" t="s">
        <v>171</v>
      </c>
      <c r="N118" t="s">
        <v>755</v>
      </c>
      <c r="O118" t="s">
        <v>756</v>
      </c>
      <c r="P118" t="s">
        <v>757</v>
      </c>
      <c r="Q118" t="s">
        <v>48</v>
      </c>
      <c r="R118" t="s">
        <v>50</v>
      </c>
      <c r="S118" t="s">
        <v>50</v>
      </c>
      <c r="T118" t="s">
        <v>50</v>
      </c>
      <c r="U118" t="s">
        <v>49</v>
      </c>
      <c r="V118" t="s">
        <v>49</v>
      </c>
      <c r="W118" t="s">
        <v>50</v>
      </c>
      <c r="X118" t="s">
        <v>49</v>
      </c>
      <c r="Y118" t="s">
        <v>50</v>
      </c>
      <c r="Z118">
        <v>49.42</v>
      </c>
      <c r="AA118">
        <v>49.42</v>
      </c>
      <c r="AB118">
        <v>32.950000000000003</v>
      </c>
      <c r="AC118">
        <v>98.85</v>
      </c>
      <c r="AD118" t="s">
        <v>49</v>
      </c>
      <c r="AE118">
        <v>10240595</v>
      </c>
      <c r="AF118">
        <v>177651</v>
      </c>
      <c r="AH118" t="s">
        <v>50</v>
      </c>
      <c r="AI118" t="s">
        <v>50</v>
      </c>
      <c r="AJ118" t="s">
        <v>51</v>
      </c>
      <c r="AK118" t="s">
        <v>50</v>
      </c>
      <c r="AM118" t="s">
        <v>49</v>
      </c>
      <c r="AN118" t="s">
        <v>758</v>
      </c>
    </row>
    <row r="119" spans="1:40" x14ac:dyDescent="0.2">
      <c r="A119">
        <v>359995</v>
      </c>
      <c r="B119" t="s">
        <v>759</v>
      </c>
      <c r="C119" t="str">
        <f>"9781420070828"</f>
        <v>9781420070828</v>
      </c>
      <c r="D119" t="str">
        <f>"9781420070842"</f>
        <v>9781420070842</v>
      </c>
      <c r="E119" t="s">
        <v>760</v>
      </c>
      <c r="F119" t="s">
        <v>760</v>
      </c>
      <c r="G119" s="1">
        <v>39682</v>
      </c>
      <c r="H119" s="1">
        <v>39721</v>
      </c>
      <c r="I119" t="s">
        <v>43</v>
      </c>
      <c r="J119">
        <v>1</v>
      </c>
      <c r="L119" t="s">
        <v>761</v>
      </c>
      <c r="M119" t="s">
        <v>762</v>
      </c>
      <c r="N119" t="s">
        <v>763</v>
      </c>
      <c r="O119" t="s">
        <v>764</v>
      </c>
      <c r="P119" t="s">
        <v>765</v>
      </c>
      <c r="Q119" t="s">
        <v>48</v>
      </c>
      <c r="R119" t="s">
        <v>50</v>
      </c>
      <c r="S119" t="s">
        <v>50</v>
      </c>
      <c r="T119" t="s">
        <v>50</v>
      </c>
      <c r="U119" t="s">
        <v>49</v>
      </c>
      <c r="V119" t="s">
        <v>49</v>
      </c>
      <c r="W119" t="s">
        <v>50</v>
      </c>
      <c r="X119" t="s">
        <v>49</v>
      </c>
      <c r="Y119" t="s">
        <v>50</v>
      </c>
      <c r="AA119">
        <v>162.5</v>
      </c>
      <c r="AB119">
        <v>130</v>
      </c>
      <c r="AC119">
        <v>195</v>
      </c>
      <c r="AD119" t="s">
        <v>49</v>
      </c>
      <c r="AE119">
        <v>10240649</v>
      </c>
      <c r="AF119">
        <v>172373</v>
      </c>
      <c r="AH119" t="s">
        <v>50</v>
      </c>
      <c r="AI119" t="s">
        <v>50</v>
      </c>
      <c r="AJ119" t="s">
        <v>51</v>
      </c>
      <c r="AK119" t="s">
        <v>50</v>
      </c>
      <c r="AM119" t="s">
        <v>49</v>
      </c>
      <c r="AN119" t="s">
        <v>766</v>
      </c>
    </row>
    <row r="120" spans="1:40" x14ac:dyDescent="0.2">
      <c r="A120">
        <v>361996</v>
      </c>
      <c r="B120" t="s">
        <v>767</v>
      </c>
      <c r="C120" t="str">
        <f>""</f>
        <v/>
      </c>
      <c r="D120" t="str">
        <f>"9781593397791"</f>
        <v>9781593397791</v>
      </c>
      <c r="E120" t="s">
        <v>768</v>
      </c>
      <c r="F120" t="s">
        <v>769</v>
      </c>
      <c r="G120" s="1">
        <v>39452</v>
      </c>
      <c r="H120" s="1">
        <v>39827</v>
      </c>
      <c r="I120" t="s">
        <v>43</v>
      </c>
      <c r="J120">
        <v>1</v>
      </c>
      <c r="K120" t="s">
        <v>770</v>
      </c>
      <c r="L120" t="s">
        <v>771</v>
      </c>
      <c r="M120" t="s">
        <v>275</v>
      </c>
      <c r="N120" t="s">
        <v>772</v>
      </c>
      <c r="O120">
        <v>900</v>
      </c>
      <c r="P120" t="s">
        <v>773</v>
      </c>
      <c r="Q120" t="s">
        <v>48</v>
      </c>
      <c r="R120" t="s">
        <v>49</v>
      </c>
      <c r="S120" t="s">
        <v>50</v>
      </c>
      <c r="T120" t="s">
        <v>50</v>
      </c>
      <c r="U120" t="s">
        <v>49</v>
      </c>
      <c r="V120" t="s">
        <v>49</v>
      </c>
      <c r="W120" t="s">
        <v>50</v>
      </c>
      <c r="X120" t="s">
        <v>49</v>
      </c>
      <c r="Y120" t="s">
        <v>49</v>
      </c>
      <c r="Z120">
        <v>7.67</v>
      </c>
      <c r="AA120">
        <v>9.59</v>
      </c>
      <c r="AB120">
        <v>7.67</v>
      </c>
      <c r="AC120">
        <v>11.5</v>
      </c>
      <c r="AD120" t="s">
        <v>49</v>
      </c>
      <c r="AE120">
        <v>10270906</v>
      </c>
      <c r="AF120">
        <v>130813</v>
      </c>
      <c r="AH120" t="s">
        <v>50</v>
      </c>
      <c r="AI120" t="s">
        <v>50</v>
      </c>
      <c r="AJ120" t="s">
        <v>51</v>
      </c>
      <c r="AK120" t="s">
        <v>50</v>
      </c>
      <c r="AM120" t="s">
        <v>49</v>
      </c>
      <c r="AN120" t="s">
        <v>774</v>
      </c>
    </row>
    <row r="121" spans="1:40" x14ac:dyDescent="0.2">
      <c r="A121">
        <v>362014</v>
      </c>
      <c r="B121" t="s">
        <v>775</v>
      </c>
      <c r="C121" t="str">
        <f>""</f>
        <v/>
      </c>
      <c r="D121" t="str">
        <f>"9781593397463"</f>
        <v>9781593397463</v>
      </c>
      <c r="E121" t="s">
        <v>768</v>
      </c>
      <c r="F121" t="s">
        <v>769</v>
      </c>
      <c r="G121" s="1">
        <v>39452</v>
      </c>
      <c r="H121" s="1">
        <v>39827</v>
      </c>
      <c r="I121" t="s">
        <v>43</v>
      </c>
      <c r="J121">
        <v>1</v>
      </c>
      <c r="K121" t="s">
        <v>776</v>
      </c>
      <c r="L121" t="s">
        <v>771</v>
      </c>
      <c r="M121" t="s">
        <v>777</v>
      </c>
      <c r="N121" t="s">
        <v>778</v>
      </c>
      <c r="O121">
        <v>31</v>
      </c>
      <c r="P121" t="s">
        <v>779</v>
      </c>
      <c r="Q121" t="s">
        <v>48</v>
      </c>
      <c r="R121" t="s">
        <v>49</v>
      </c>
      <c r="S121" t="s">
        <v>50</v>
      </c>
      <c r="T121" t="s">
        <v>50</v>
      </c>
      <c r="U121" t="s">
        <v>49</v>
      </c>
      <c r="V121" t="s">
        <v>49</v>
      </c>
      <c r="W121" t="s">
        <v>50</v>
      </c>
      <c r="X121" t="s">
        <v>49</v>
      </c>
      <c r="Y121" t="s">
        <v>49</v>
      </c>
      <c r="Z121">
        <v>7.67</v>
      </c>
      <c r="AA121">
        <v>9.59</v>
      </c>
      <c r="AB121">
        <v>7.67</v>
      </c>
      <c r="AC121">
        <v>11.5</v>
      </c>
      <c r="AD121" t="s">
        <v>49</v>
      </c>
      <c r="AE121">
        <v>10270917</v>
      </c>
      <c r="AF121">
        <v>130780</v>
      </c>
      <c r="AH121" t="s">
        <v>50</v>
      </c>
      <c r="AI121" t="s">
        <v>50</v>
      </c>
      <c r="AJ121" t="s">
        <v>51</v>
      </c>
      <c r="AK121" t="s">
        <v>50</v>
      </c>
      <c r="AM121" t="s">
        <v>49</v>
      </c>
      <c r="AN121" t="s">
        <v>780</v>
      </c>
    </row>
    <row r="122" spans="1:40" x14ac:dyDescent="0.2">
      <c r="A122">
        <v>370284</v>
      </c>
      <c r="B122" t="s">
        <v>781</v>
      </c>
      <c r="C122" t="str">
        <f>"9781847691019"</f>
        <v>9781847691019</v>
      </c>
      <c r="D122" t="str">
        <f>"9781847691026"</f>
        <v>9781847691026</v>
      </c>
      <c r="E122" t="s">
        <v>782</v>
      </c>
      <c r="F122" t="s">
        <v>782</v>
      </c>
      <c r="G122" s="1">
        <v>39681</v>
      </c>
      <c r="H122" s="1">
        <v>39778</v>
      </c>
      <c r="I122" t="s">
        <v>43</v>
      </c>
      <c r="J122">
        <v>1</v>
      </c>
      <c r="K122" t="s">
        <v>783</v>
      </c>
      <c r="L122" t="s">
        <v>784</v>
      </c>
      <c r="M122" t="s">
        <v>45</v>
      </c>
      <c r="N122" t="s">
        <v>785</v>
      </c>
      <c r="O122" t="s">
        <v>786</v>
      </c>
      <c r="P122" t="s">
        <v>787</v>
      </c>
      <c r="Q122" t="s">
        <v>48</v>
      </c>
      <c r="R122" t="s">
        <v>49</v>
      </c>
      <c r="S122" t="s">
        <v>50</v>
      </c>
      <c r="T122" t="s">
        <v>50</v>
      </c>
      <c r="U122" t="s">
        <v>49</v>
      </c>
      <c r="V122" t="s">
        <v>49</v>
      </c>
      <c r="W122" t="s">
        <v>50</v>
      </c>
      <c r="X122" t="s">
        <v>50</v>
      </c>
      <c r="Y122" t="s">
        <v>49</v>
      </c>
      <c r="Z122">
        <v>155.94</v>
      </c>
      <c r="AA122">
        <v>194.92</v>
      </c>
      <c r="AB122">
        <v>129.94999999999999</v>
      </c>
      <c r="AC122">
        <v>259.89999999999998</v>
      </c>
      <c r="AD122" t="s">
        <v>49</v>
      </c>
      <c r="AE122">
        <v>10257268</v>
      </c>
      <c r="AF122">
        <v>187852</v>
      </c>
      <c r="AH122" t="s">
        <v>49</v>
      </c>
      <c r="AI122" t="s">
        <v>50</v>
      </c>
      <c r="AJ122" t="s">
        <v>51</v>
      </c>
      <c r="AK122" t="s">
        <v>50</v>
      </c>
      <c r="AM122" t="s">
        <v>49</v>
      </c>
      <c r="AN122" t="s">
        <v>788</v>
      </c>
    </row>
    <row r="123" spans="1:40" x14ac:dyDescent="0.2">
      <c r="A123">
        <v>370555</v>
      </c>
      <c r="B123" t="s">
        <v>789</v>
      </c>
      <c r="C123" t="str">
        <f>"9781402213441"</f>
        <v>9781402213441</v>
      </c>
      <c r="D123" t="str">
        <f>"9781402221262"</f>
        <v>9781402221262</v>
      </c>
      <c r="E123" t="s">
        <v>790</v>
      </c>
      <c r="F123" t="s">
        <v>790</v>
      </c>
      <c r="G123" s="1">
        <v>39753</v>
      </c>
      <c r="H123" s="1">
        <v>39779</v>
      </c>
      <c r="I123" t="s">
        <v>43</v>
      </c>
      <c r="J123">
        <v>1</v>
      </c>
      <c r="K123" t="s">
        <v>791</v>
      </c>
      <c r="L123" t="s">
        <v>792</v>
      </c>
      <c r="M123" t="s">
        <v>675</v>
      </c>
      <c r="N123" t="s">
        <v>793</v>
      </c>
      <c r="O123">
        <v>616.83100000000002</v>
      </c>
      <c r="P123" t="s">
        <v>794</v>
      </c>
      <c r="Q123" t="s">
        <v>48</v>
      </c>
      <c r="R123" t="s">
        <v>49</v>
      </c>
      <c r="S123" t="s">
        <v>50</v>
      </c>
      <c r="T123" t="s">
        <v>50</v>
      </c>
      <c r="U123" t="s">
        <v>49</v>
      </c>
      <c r="V123" t="s">
        <v>49</v>
      </c>
      <c r="W123" t="s">
        <v>50</v>
      </c>
      <c r="X123" t="s">
        <v>50</v>
      </c>
      <c r="Y123" t="s">
        <v>50</v>
      </c>
      <c r="Z123">
        <v>23.99</v>
      </c>
      <c r="AB123">
        <v>23.99</v>
      </c>
      <c r="AC123">
        <v>35.979999999999997</v>
      </c>
      <c r="AD123" t="s">
        <v>49</v>
      </c>
      <c r="AF123">
        <v>206392</v>
      </c>
      <c r="AH123" t="s">
        <v>50</v>
      </c>
      <c r="AI123" t="s">
        <v>50</v>
      </c>
      <c r="AJ123" t="s">
        <v>51</v>
      </c>
      <c r="AK123" t="s">
        <v>50</v>
      </c>
      <c r="AM123" t="s">
        <v>49</v>
      </c>
      <c r="AN123" t="s">
        <v>795</v>
      </c>
    </row>
    <row r="124" spans="1:40" x14ac:dyDescent="0.2">
      <c r="A124">
        <v>371189</v>
      </c>
      <c r="B124" t="s">
        <v>796</v>
      </c>
      <c r="C124" t="str">
        <f>"9781593854508"</f>
        <v>9781593854508</v>
      </c>
      <c r="D124" t="str">
        <f>"9781606230923"</f>
        <v>9781606230923</v>
      </c>
      <c r="E124" t="s">
        <v>619</v>
      </c>
      <c r="F124" t="s">
        <v>797</v>
      </c>
      <c r="G124" s="1">
        <v>41773</v>
      </c>
      <c r="H124" s="1">
        <v>39781</v>
      </c>
      <c r="I124" t="s">
        <v>43</v>
      </c>
      <c r="J124">
        <v>2</v>
      </c>
      <c r="L124" t="s">
        <v>798</v>
      </c>
      <c r="M124" t="s">
        <v>675</v>
      </c>
      <c r="N124" t="s">
        <v>799</v>
      </c>
      <c r="O124">
        <v>616.85270000000003</v>
      </c>
      <c r="P124" t="s">
        <v>800</v>
      </c>
      <c r="Q124" t="s">
        <v>48</v>
      </c>
      <c r="R124" t="s">
        <v>50</v>
      </c>
      <c r="S124" t="s">
        <v>50</v>
      </c>
      <c r="T124" t="s">
        <v>50</v>
      </c>
      <c r="U124" t="s">
        <v>49</v>
      </c>
      <c r="V124" t="s">
        <v>49</v>
      </c>
      <c r="W124" t="s">
        <v>50</v>
      </c>
      <c r="X124" t="s">
        <v>49</v>
      </c>
      <c r="Y124" t="s">
        <v>50</v>
      </c>
      <c r="Z124">
        <v>148.75</v>
      </c>
      <c r="AA124">
        <v>127.5</v>
      </c>
      <c r="AB124">
        <v>85</v>
      </c>
      <c r="AD124" t="s">
        <v>49</v>
      </c>
      <c r="AE124">
        <v>10257324</v>
      </c>
      <c r="AF124">
        <v>196339</v>
      </c>
      <c r="AH124" t="s">
        <v>50</v>
      </c>
      <c r="AI124" t="s">
        <v>50</v>
      </c>
      <c r="AJ124" t="s">
        <v>51</v>
      </c>
      <c r="AK124" t="s">
        <v>50</v>
      </c>
      <c r="AM124" t="s">
        <v>49</v>
      </c>
      <c r="AN124" t="s">
        <v>801</v>
      </c>
    </row>
    <row r="125" spans="1:40" x14ac:dyDescent="0.2">
      <c r="A125">
        <v>380445</v>
      </c>
      <c r="B125" t="s">
        <v>802</v>
      </c>
      <c r="C125" t="str">
        <f>"9780470247945"</f>
        <v>9780470247945</v>
      </c>
      <c r="D125" t="str">
        <f>"9780470411261"</f>
        <v>9780470411261</v>
      </c>
      <c r="E125" t="s">
        <v>54</v>
      </c>
      <c r="F125" t="s">
        <v>149</v>
      </c>
      <c r="G125" s="1">
        <v>39755</v>
      </c>
      <c r="H125" s="1">
        <v>39793</v>
      </c>
      <c r="I125" t="s">
        <v>43</v>
      </c>
      <c r="J125">
        <v>1</v>
      </c>
      <c r="K125" t="s">
        <v>149</v>
      </c>
      <c r="L125" t="s">
        <v>803</v>
      </c>
      <c r="M125" t="s">
        <v>45</v>
      </c>
      <c r="N125" t="s">
        <v>804</v>
      </c>
      <c r="O125">
        <v>458.24209999999999</v>
      </c>
      <c r="P125" t="s">
        <v>805</v>
      </c>
      <c r="Q125" t="s">
        <v>48</v>
      </c>
      <c r="R125" t="s">
        <v>49</v>
      </c>
      <c r="S125" t="s">
        <v>50</v>
      </c>
      <c r="T125" t="s">
        <v>50</v>
      </c>
      <c r="U125" t="s">
        <v>49</v>
      </c>
      <c r="V125" t="s">
        <v>49</v>
      </c>
      <c r="W125" t="s">
        <v>50</v>
      </c>
      <c r="X125" t="s">
        <v>49</v>
      </c>
      <c r="Y125" t="s">
        <v>50</v>
      </c>
      <c r="Z125">
        <v>29.98</v>
      </c>
      <c r="AA125">
        <v>29.98</v>
      </c>
      <c r="AB125">
        <v>19.989999999999998</v>
      </c>
      <c r="AD125" t="s">
        <v>49</v>
      </c>
      <c r="AE125">
        <v>10257557</v>
      </c>
      <c r="AF125">
        <v>193875</v>
      </c>
      <c r="AH125" t="s">
        <v>50</v>
      </c>
      <c r="AI125" t="s">
        <v>50</v>
      </c>
      <c r="AJ125" t="s">
        <v>51</v>
      </c>
      <c r="AK125" t="s">
        <v>50</v>
      </c>
      <c r="AM125" t="s">
        <v>49</v>
      </c>
      <c r="AN125" t="s">
        <v>806</v>
      </c>
    </row>
    <row r="126" spans="1:40" x14ac:dyDescent="0.2">
      <c r="A126">
        <v>380470</v>
      </c>
      <c r="B126" t="s">
        <v>807</v>
      </c>
      <c r="C126" t="str">
        <f>"9780470343845"</f>
        <v>9780470343845</v>
      </c>
      <c r="D126" t="str">
        <f>"9780470417478"</f>
        <v>9780470417478</v>
      </c>
      <c r="E126" t="s">
        <v>54</v>
      </c>
      <c r="F126" t="s">
        <v>168</v>
      </c>
      <c r="G126" s="1">
        <v>39822</v>
      </c>
      <c r="H126" s="1">
        <v>39795</v>
      </c>
      <c r="I126" t="s">
        <v>43</v>
      </c>
      <c r="J126">
        <v>1</v>
      </c>
      <c r="K126" t="s">
        <v>435</v>
      </c>
      <c r="L126" t="s">
        <v>444</v>
      </c>
      <c r="M126" t="s">
        <v>171</v>
      </c>
      <c r="N126" t="s">
        <v>808</v>
      </c>
      <c r="O126">
        <v>745.5942</v>
      </c>
      <c r="P126" t="s">
        <v>809</v>
      </c>
      <c r="Q126" t="s">
        <v>48</v>
      </c>
      <c r="R126" t="s">
        <v>50</v>
      </c>
      <c r="S126" t="s">
        <v>50</v>
      </c>
      <c r="T126" t="s">
        <v>50</v>
      </c>
      <c r="U126" t="s">
        <v>50</v>
      </c>
      <c r="V126" t="s">
        <v>49</v>
      </c>
      <c r="W126" t="s">
        <v>50</v>
      </c>
      <c r="X126" t="s">
        <v>50</v>
      </c>
      <c r="Y126" t="s">
        <v>50</v>
      </c>
      <c r="AD126" t="s">
        <v>49</v>
      </c>
      <c r="AE126">
        <v>10346409</v>
      </c>
      <c r="AF126">
        <v>193888</v>
      </c>
      <c r="AH126" t="s">
        <v>50</v>
      </c>
      <c r="AI126" t="s">
        <v>50</v>
      </c>
      <c r="AJ126" t="s">
        <v>51</v>
      </c>
      <c r="AK126" t="s">
        <v>50</v>
      </c>
      <c r="AM126" t="s">
        <v>49</v>
      </c>
      <c r="AN126" t="s">
        <v>810</v>
      </c>
    </row>
    <row r="127" spans="1:40" x14ac:dyDescent="0.2">
      <c r="A127">
        <v>380484</v>
      </c>
      <c r="B127" t="s">
        <v>811</v>
      </c>
      <c r="C127" t="str">
        <f>"9780470386941"</f>
        <v>9780470386941</v>
      </c>
      <c r="D127" t="str">
        <f>"9780470446249"</f>
        <v>9780470446249</v>
      </c>
      <c r="E127" t="s">
        <v>54</v>
      </c>
      <c r="F127" t="s">
        <v>149</v>
      </c>
      <c r="G127" s="1">
        <v>39762</v>
      </c>
      <c r="H127" s="1">
        <v>39795</v>
      </c>
      <c r="I127" t="s">
        <v>43</v>
      </c>
      <c r="J127">
        <v>2</v>
      </c>
      <c r="K127" t="s">
        <v>226</v>
      </c>
      <c r="L127" t="s">
        <v>812</v>
      </c>
      <c r="M127" t="s">
        <v>171</v>
      </c>
      <c r="N127" t="s">
        <v>813</v>
      </c>
      <c r="O127" t="s">
        <v>814</v>
      </c>
      <c r="P127" t="s">
        <v>815</v>
      </c>
      <c r="Q127" t="s">
        <v>48</v>
      </c>
      <c r="R127" t="s">
        <v>50</v>
      </c>
      <c r="S127" t="s">
        <v>50</v>
      </c>
      <c r="T127" t="s">
        <v>50</v>
      </c>
      <c r="U127" t="s">
        <v>49</v>
      </c>
      <c r="V127" t="s">
        <v>49</v>
      </c>
      <c r="W127" t="s">
        <v>50</v>
      </c>
      <c r="X127" t="s">
        <v>49</v>
      </c>
      <c r="Y127" t="s">
        <v>50</v>
      </c>
      <c r="Z127">
        <v>29.98</v>
      </c>
      <c r="AA127">
        <v>29.98</v>
      </c>
      <c r="AB127">
        <v>19.989999999999998</v>
      </c>
      <c r="AC127">
        <v>34.979999999999997</v>
      </c>
      <c r="AD127" t="s">
        <v>49</v>
      </c>
      <c r="AE127">
        <v>10346497</v>
      </c>
      <c r="AF127">
        <v>194649</v>
      </c>
      <c r="AH127" t="s">
        <v>50</v>
      </c>
      <c r="AI127" t="s">
        <v>50</v>
      </c>
      <c r="AJ127" t="s">
        <v>51</v>
      </c>
      <c r="AK127" t="s">
        <v>50</v>
      </c>
      <c r="AM127" t="s">
        <v>49</v>
      </c>
      <c r="AN127" t="s">
        <v>816</v>
      </c>
    </row>
    <row r="128" spans="1:40" x14ac:dyDescent="0.2">
      <c r="A128">
        <v>380508</v>
      </c>
      <c r="B128" t="s">
        <v>817</v>
      </c>
      <c r="C128" t="str">
        <f>"9780470387665"</f>
        <v>9780470387665</v>
      </c>
      <c r="D128" t="str">
        <f>"9780470472996"</f>
        <v>9780470472996</v>
      </c>
      <c r="E128" t="s">
        <v>54</v>
      </c>
      <c r="F128" t="s">
        <v>149</v>
      </c>
      <c r="G128" s="1">
        <v>39792</v>
      </c>
      <c r="H128" s="1">
        <v>39795</v>
      </c>
      <c r="I128" t="s">
        <v>43</v>
      </c>
      <c r="J128">
        <v>1</v>
      </c>
      <c r="K128" t="s">
        <v>226</v>
      </c>
      <c r="L128" t="s">
        <v>818</v>
      </c>
      <c r="M128" t="s">
        <v>171</v>
      </c>
      <c r="N128" t="s">
        <v>819</v>
      </c>
      <c r="O128">
        <v>787.87193000000002</v>
      </c>
      <c r="P128" t="s">
        <v>820</v>
      </c>
      <c r="Q128" t="s">
        <v>48</v>
      </c>
      <c r="R128" t="s">
        <v>50</v>
      </c>
      <c r="S128" t="s">
        <v>50</v>
      </c>
      <c r="T128" t="s">
        <v>50</v>
      </c>
      <c r="U128" t="s">
        <v>49</v>
      </c>
      <c r="V128" t="s">
        <v>49</v>
      </c>
      <c r="W128" t="s">
        <v>50</v>
      </c>
      <c r="X128" t="s">
        <v>49</v>
      </c>
      <c r="Y128" t="s">
        <v>50</v>
      </c>
      <c r="Z128">
        <v>34.479999999999997</v>
      </c>
      <c r="AA128">
        <v>34.479999999999997</v>
      </c>
      <c r="AB128">
        <v>22.99</v>
      </c>
      <c r="AC128">
        <v>40.229999999999997</v>
      </c>
      <c r="AD128" t="s">
        <v>49</v>
      </c>
      <c r="AE128">
        <v>10346251</v>
      </c>
      <c r="AF128">
        <v>193934</v>
      </c>
      <c r="AH128" t="s">
        <v>50</v>
      </c>
      <c r="AI128" t="s">
        <v>50</v>
      </c>
      <c r="AJ128" t="s">
        <v>51</v>
      </c>
      <c r="AK128" t="s">
        <v>50</v>
      </c>
      <c r="AM128" t="s">
        <v>49</v>
      </c>
      <c r="AN128" t="s">
        <v>821</v>
      </c>
    </row>
    <row r="129" spans="1:40" x14ac:dyDescent="0.2">
      <c r="A129">
        <v>380525</v>
      </c>
      <c r="B129" t="s">
        <v>822</v>
      </c>
      <c r="C129" t="str">
        <f>"9780470259276"</f>
        <v>9780470259276</v>
      </c>
      <c r="D129" t="str">
        <f>"9780470444863"</f>
        <v>9780470444863</v>
      </c>
      <c r="E129" t="s">
        <v>54</v>
      </c>
      <c r="F129" t="s">
        <v>149</v>
      </c>
      <c r="G129" s="1">
        <v>39748</v>
      </c>
      <c r="H129" s="1">
        <v>39793</v>
      </c>
      <c r="I129" t="s">
        <v>43</v>
      </c>
      <c r="J129">
        <v>1</v>
      </c>
      <c r="K129" t="s">
        <v>149</v>
      </c>
      <c r="L129" t="s">
        <v>823</v>
      </c>
      <c r="M129" t="s">
        <v>571</v>
      </c>
      <c r="N129" t="s">
        <v>824</v>
      </c>
      <c r="O129">
        <v>616.89800000000002</v>
      </c>
      <c r="P129" t="s">
        <v>825</v>
      </c>
      <c r="Q129" t="s">
        <v>48</v>
      </c>
      <c r="R129" t="s">
        <v>49</v>
      </c>
      <c r="S129" t="s">
        <v>50</v>
      </c>
      <c r="T129" t="s">
        <v>50</v>
      </c>
      <c r="U129" t="s">
        <v>49</v>
      </c>
      <c r="V129" t="s">
        <v>49</v>
      </c>
      <c r="W129" t="s">
        <v>50</v>
      </c>
      <c r="X129" t="s">
        <v>49</v>
      </c>
      <c r="Y129" t="s">
        <v>50</v>
      </c>
      <c r="Z129">
        <v>29.98</v>
      </c>
      <c r="AA129">
        <v>29.98</v>
      </c>
      <c r="AB129">
        <v>19.989999999999998</v>
      </c>
      <c r="AC129">
        <v>34.979999999999997</v>
      </c>
      <c r="AD129" t="s">
        <v>49</v>
      </c>
      <c r="AE129">
        <v>10257678</v>
      </c>
      <c r="AF129">
        <v>194646</v>
      </c>
      <c r="AH129" t="s">
        <v>50</v>
      </c>
      <c r="AI129" t="s">
        <v>50</v>
      </c>
      <c r="AJ129" t="s">
        <v>51</v>
      </c>
      <c r="AK129" t="s">
        <v>50</v>
      </c>
      <c r="AM129" t="s">
        <v>49</v>
      </c>
      <c r="AN129" t="s">
        <v>826</v>
      </c>
    </row>
    <row r="130" spans="1:40" x14ac:dyDescent="0.2">
      <c r="A130">
        <v>380564</v>
      </c>
      <c r="B130" t="s">
        <v>827</v>
      </c>
      <c r="C130" t="str">
        <f>"9780470287477"</f>
        <v>9780470287477</v>
      </c>
      <c r="D130" t="str">
        <f>"9780470440131"</f>
        <v>9780470440131</v>
      </c>
      <c r="E130" t="s">
        <v>54</v>
      </c>
      <c r="F130" t="s">
        <v>149</v>
      </c>
      <c r="G130" s="1">
        <v>39765</v>
      </c>
      <c r="H130" s="1">
        <v>39796</v>
      </c>
      <c r="I130" t="s">
        <v>43</v>
      </c>
      <c r="J130">
        <v>2</v>
      </c>
      <c r="K130" t="s">
        <v>149</v>
      </c>
      <c r="L130" t="s">
        <v>828</v>
      </c>
      <c r="M130" t="s">
        <v>171</v>
      </c>
      <c r="N130" t="s">
        <v>829</v>
      </c>
      <c r="O130" t="s">
        <v>830</v>
      </c>
      <c r="P130" t="s">
        <v>831</v>
      </c>
      <c r="Q130" t="s">
        <v>48</v>
      </c>
      <c r="R130" t="s">
        <v>50</v>
      </c>
      <c r="S130" t="s">
        <v>50</v>
      </c>
      <c r="T130" t="s">
        <v>50</v>
      </c>
      <c r="U130" t="s">
        <v>49</v>
      </c>
      <c r="V130" t="s">
        <v>49</v>
      </c>
      <c r="W130" t="s">
        <v>50</v>
      </c>
      <c r="X130" t="s">
        <v>49</v>
      </c>
      <c r="Y130" t="s">
        <v>50</v>
      </c>
      <c r="Z130">
        <v>32.979999999999997</v>
      </c>
      <c r="AA130">
        <v>32.979999999999997</v>
      </c>
      <c r="AB130">
        <v>21.99</v>
      </c>
      <c r="AC130">
        <v>38.479999999999997</v>
      </c>
      <c r="AD130" t="s">
        <v>49</v>
      </c>
      <c r="AE130">
        <v>10345988</v>
      </c>
      <c r="AF130">
        <v>194627</v>
      </c>
      <c r="AH130" t="s">
        <v>50</v>
      </c>
      <c r="AI130" t="s">
        <v>50</v>
      </c>
      <c r="AJ130" t="s">
        <v>51</v>
      </c>
      <c r="AK130" t="s">
        <v>50</v>
      </c>
      <c r="AM130" t="s">
        <v>49</v>
      </c>
      <c r="AN130" t="s">
        <v>832</v>
      </c>
    </row>
    <row r="131" spans="1:40" x14ac:dyDescent="0.2">
      <c r="A131">
        <v>405971</v>
      </c>
      <c r="B131" t="s">
        <v>833</v>
      </c>
      <c r="C131" t="str">
        <f>"9781593855864"</f>
        <v>9781593855864</v>
      </c>
      <c r="D131" t="str">
        <f>"9781593858445"</f>
        <v>9781593858445</v>
      </c>
      <c r="E131" t="s">
        <v>619</v>
      </c>
      <c r="F131" t="s">
        <v>620</v>
      </c>
      <c r="G131" s="1">
        <v>39374</v>
      </c>
      <c r="H131" s="1">
        <v>39813</v>
      </c>
      <c r="I131" t="s">
        <v>43</v>
      </c>
      <c r="L131" t="s">
        <v>834</v>
      </c>
      <c r="M131" t="s">
        <v>682</v>
      </c>
      <c r="N131" t="s">
        <v>835</v>
      </c>
      <c r="O131" t="s">
        <v>836</v>
      </c>
      <c r="P131" t="s">
        <v>837</v>
      </c>
      <c r="Q131" t="s">
        <v>48</v>
      </c>
      <c r="R131" t="s">
        <v>49</v>
      </c>
      <c r="S131" t="s">
        <v>50</v>
      </c>
      <c r="T131" t="s">
        <v>50</v>
      </c>
      <c r="U131" t="s">
        <v>49</v>
      </c>
      <c r="V131" t="s">
        <v>49</v>
      </c>
      <c r="W131" t="s">
        <v>50</v>
      </c>
      <c r="X131" t="s">
        <v>49</v>
      </c>
      <c r="Y131" t="s">
        <v>50</v>
      </c>
      <c r="Z131">
        <v>166.25</v>
      </c>
      <c r="AA131">
        <v>142.5</v>
      </c>
      <c r="AB131">
        <v>95</v>
      </c>
      <c r="AC131">
        <v>213.75</v>
      </c>
      <c r="AD131" t="s">
        <v>49</v>
      </c>
      <c r="AE131">
        <v>10267432</v>
      </c>
      <c r="AF131">
        <v>196312</v>
      </c>
      <c r="AH131" t="s">
        <v>50</v>
      </c>
      <c r="AI131" t="s">
        <v>50</v>
      </c>
      <c r="AJ131" t="s">
        <v>51</v>
      </c>
      <c r="AK131" t="s">
        <v>50</v>
      </c>
      <c r="AM131" t="s">
        <v>49</v>
      </c>
      <c r="AN131" t="s">
        <v>838</v>
      </c>
    </row>
    <row r="132" spans="1:40" x14ac:dyDescent="0.2">
      <c r="A132">
        <v>406017</v>
      </c>
      <c r="B132" t="s">
        <v>839</v>
      </c>
      <c r="C132" t="str">
        <f>"9781593855963"</f>
        <v>9781593855963</v>
      </c>
      <c r="D132" t="str">
        <f>"9781593858469"</f>
        <v>9781593858469</v>
      </c>
      <c r="E132" t="s">
        <v>619</v>
      </c>
      <c r="F132" t="s">
        <v>620</v>
      </c>
      <c r="G132" s="1">
        <v>39401</v>
      </c>
      <c r="H132" s="1">
        <v>39813</v>
      </c>
      <c r="I132" t="s">
        <v>43</v>
      </c>
      <c r="L132" t="s">
        <v>840</v>
      </c>
      <c r="M132" t="s">
        <v>571</v>
      </c>
      <c r="N132" t="s">
        <v>841</v>
      </c>
      <c r="O132" t="s">
        <v>842</v>
      </c>
      <c r="P132" t="s">
        <v>843</v>
      </c>
      <c r="Q132" t="s">
        <v>48</v>
      </c>
      <c r="R132" t="s">
        <v>49</v>
      </c>
      <c r="S132" t="s">
        <v>50</v>
      </c>
      <c r="T132" t="s">
        <v>50</v>
      </c>
      <c r="U132" t="s">
        <v>49</v>
      </c>
      <c r="V132" t="s">
        <v>49</v>
      </c>
      <c r="W132" t="s">
        <v>50</v>
      </c>
      <c r="X132" t="s">
        <v>49</v>
      </c>
      <c r="Y132" t="s">
        <v>50</v>
      </c>
      <c r="Z132">
        <v>101.5</v>
      </c>
      <c r="AA132">
        <v>87</v>
      </c>
      <c r="AB132">
        <v>58</v>
      </c>
      <c r="AC132">
        <v>130.5</v>
      </c>
      <c r="AD132" t="s">
        <v>49</v>
      </c>
      <c r="AE132">
        <v>10267410</v>
      </c>
      <c r="AF132">
        <v>196314</v>
      </c>
      <c r="AH132" t="s">
        <v>49</v>
      </c>
      <c r="AI132" t="s">
        <v>50</v>
      </c>
      <c r="AJ132" t="s">
        <v>51</v>
      </c>
      <c r="AK132" t="s">
        <v>50</v>
      </c>
      <c r="AM132" t="s">
        <v>49</v>
      </c>
      <c r="AN132" t="s">
        <v>844</v>
      </c>
    </row>
    <row r="133" spans="1:40" x14ac:dyDescent="0.2">
      <c r="A133">
        <v>408734</v>
      </c>
      <c r="B133" t="s">
        <v>845</v>
      </c>
      <c r="C133" t="str">
        <f>"9780814400944"</f>
        <v>9780814400944</v>
      </c>
      <c r="D133" t="str">
        <f>"9780814401743"</f>
        <v>9780814401743</v>
      </c>
      <c r="E133" t="s">
        <v>846</v>
      </c>
      <c r="F133" t="s">
        <v>846</v>
      </c>
      <c r="G133" s="1">
        <v>39666</v>
      </c>
      <c r="H133" s="1">
        <v>39849</v>
      </c>
      <c r="I133" t="s">
        <v>43</v>
      </c>
      <c r="J133">
        <v>1</v>
      </c>
      <c r="L133" t="s">
        <v>847</v>
      </c>
      <c r="M133" t="s">
        <v>571</v>
      </c>
      <c r="N133" t="s">
        <v>848</v>
      </c>
      <c r="O133" t="s">
        <v>849</v>
      </c>
      <c r="P133" t="s">
        <v>850</v>
      </c>
      <c r="Q133" t="s">
        <v>48</v>
      </c>
      <c r="R133" t="s">
        <v>49</v>
      </c>
      <c r="S133" t="s">
        <v>50</v>
      </c>
      <c r="T133" t="s">
        <v>50</v>
      </c>
      <c r="U133" t="s">
        <v>49</v>
      </c>
      <c r="V133" t="s">
        <v>49</v>
      </c>
      <c r="W133" t="s">
        <v>50</v>
      </c>
      <c r="X133" t="s">
        <v>49</v>
      </c>
      <c r="Y133" t="s">
        <v>50</v>
      </c>
      <c r="Z133">
        <v>22.46</v>
      </c>
      <c r="AA133">
        <v>18.71</v>
      </c>
      <c r="AB133">
        <v>14.97</v>
      </c>
      <c r="AC133">
        <v>22.46</v>
      </c>
      <c r="AD133" t="s">
        <v>49</v>
      </c>
      <c r="AE133">
        <v>10271813</v>
      </c>
      <c r="AF133">
        <v>210219</v>
      </c>
      <c r="AH133" t="s">
        <v>49</v>
      </c>
      <c r="AI133" t="s">
        <v>50</v>
      </c>
      <c r="AJ133" t="s">
        <v>51</v>
      </c>
      <c r="AK133" t="s">
        <v>50</v>
      </c>
      <c r="AM133" t="s">
        <v>49</v>
      </c>
      <c r="AN133" t="s">
        <v>851</v>
      </c>
    </row>
    <row r="134" spans="1:40" x14ac:dyDescent="0.2">
      <c r="A134">
        <v>408771</v>
      </c>
      <c r="B134" t="s">
        <v>852</v>
      </c>
      <c r="C134" t="str">
        <f>"9780814409886"</f>
        <v>9780814409886</v>
      </c>
      <c r="D134" t="str">
        <f>"9780814410882"</f>
        <v>9780814410882</v>
      </c>
      <c r="E134" t="s">
        <v>846</v>
      </c>
      <c r="F134" t="s">
        <v>846</v>
      </c>
      <c r="G134" s="1">
        <v>39678</v>
      </c>
      <c r="H134" s="1">
        <v>39849</v>
      </c>
      <c r="I134" t="s">
        <v>43</v>
      </c>
      <c r="J134">
        <v>1</v>
      </c>
      <c r="L134" t="s">
        <v>853</v>
      </c>
      <c r="M134" t="s">
        <v>58</v>
      </c>
      <c r="N134" t="s">
        <v>854</v>
      </c>
      <c r="O134" t="s">
        <v>855</v>
      </c>
      <c r="P134" t="s">
        <v>856</v>
      </c>
      <c r="Q134" t="s">
        <v>48</v>
      </c>
      <c r="R134" t="s">
        <v>49</v>
      </c>
      <c r="S134" t="s">
        <v>50</v>
      </c>
      <c r="T134" t="s">
        <v>50</v>
      </c>
      <c r="U134" t="s">
        <v>49</v>
      </c>
      <c r="V134" t="s">
        <v>49</v>
      </c>
      <c r="W134" t="s">
        <v>50</v>
      </c>
      <c r="X134" t="s">
        <v>49</v>
      </c>
      <c r="Y134" t="s">
        <v>50</v>
      </c>
      <c r="Z134">
        <v>37.42</v>
      </c>
      <c r="AA134">
        <v>31.19</v>
      </c>
      <c r="AB134">
        <v>24.95</v>
      </c>
      <c r="AC134">
        <v>37.42</v>
      </c>
      <c r="AD134" t="s">
        <v>49</v>
      </c>
      <c r="AE134">
        <v>10271792</v>
      </c>
      <c r="AF134">
        <v>210231</v>
      </c>
      <c r="AH134" t="s">
        <v>49</v>
      </c>
      <c r="AI134" t="s">
        <v>50</v>
      </c>
      <c r="AJ134" t="s">
        <v>51</v>
      </c>
      <c r="AK134" t="s">
        <v>50</v>
      </c>
      <c r="AM134" t="s">
        <v>49</v>
      </c>
      <c r="AN134" t="s">
        <v>857</v>
      </c>
    </row>
    <row r="135" spans="1:40" x14ac:dyDescent="0.2">
      <c r="A135">
        <v>409515</v>
      </c>
      <c r="B135" t="s">
        <v>858</v>
      </c>
      <c r="C135" t="str">
        <f>"9780415472166"</f>
        <v>9780415472166</v>
      </c>
      <c r="D135" t="str">
        <f>"9780203883402"</f>
        <v>9780203883402</v>
      </c>
      <c r="E135" t="s">
        <v>41</v>
      </c>
      <c r="F135" t="s">
        <v>42</v>
      </c>
      <c r="G135" s="1">
        <v>39890</v>
      </c>
      <c r="H135" s="1">
        <v>39879</v>
      </c>
      <c r="I135" t="s">
        <v>43</v>
      </c>
      <c r="J135">
        <v>2</v>
      </c>
      <c r="K135" t="s">
        <v>859</v>
      </c>
      <c r="L135" t="s">
        <v>860</v>
      </c>
      <c r="M135" t="s">
        <v>45</v>
      </c>
      <c r="N135" t="s">
        <v>861</v>
      </c>
      <c r="O135">
        <v>495.18242099999998</v>
      </c>
      <c r="P135" t="s">
        <v>862</v>
      </c>
      <c r="Q135" t="s">
        <v>48</v>
      </c>
      <c r="R135" t="s">
        <v>50</v>
      </c>
      <c r="S135" t="s">
        <v>50</v>
      </c>
      <c r="T135" t="s">
        <v>50</v>
      </c>
      <c r="U135" t="s">
        <v>49</v>
      </c>
      <c r="V135" t="s">
        <v>49</v>
      </c>
      <c r="W135" t="s">
        <v>50</v>
      </c>
      <c r="X135" t="s">
        <v>49</v>
      </c>
      <c r="Y135" t="s">
        <v>50</v>
      </c>
      <c r="Z135">
        <v>187.5</v>
      </c>
      <c r="AA135">
        <v>156.25</v>
      </c>
      <c r="AB135">
        <v>125</v>
      </c>
      <c r="AD135" t="s">
        <v>49</v>
      </c>
      <c r="AE135">
        <v>10282433</v>
      </c>
      <c r="AF135">
        <v>201608</v>
      </c>
      <c r="AH135" t="s">
        <v>50</v>
      </c>
      <c r="AI135" t="s">
        <v>50</v>
      </c>
      <c r="AJ135" t="s">
        <v>51</v>
      </c>
      <c r="AK135" t="s">
        <v>50</v>
      </c>
      <c r="AM135" t="s">
        <v>49</v>
      </c>
      <c r="AN135" t="s">
        <v>863</v>
      </c>
    </row>
    <row r="136" spans="1:40" x14ac:dyDescent="0.2">
      <c r="A136">
        <v>409703</v>
      </c>
      <c r="B136" t="s">
        <v>864</v>
      </c>
      <c r="C136" t="str">
        <f>"9781598841275"</f>
        <v>9781598841275</v>
      </c>
      <c r="D136" t="str">
        <f>"9781598841282"</f>
        <v>9781598841282</v>
      </c>
      <c r="E136" t="s">
        <v>384</v>
      </c>
      <c r="F136" t="s">
        <v>384</v>
      </c>
      <c r="G136" s="1">
        <v>39744</v>
      </c>
      <c r="H136" s="1">
        <v>40244</v>
      </c>
      <c r="I136" t="s">
        <v>43</v>
      </c>
      <c r="L136" t="s">
        <v>865</v>
      </c>
      <c r="M136" t="s">
        <v>234</v>
      </c>
      <c r="N136" t="s">
        <v>866</v>
      </c>
      <c r="O136" t="s">
        <v>867</v>
      </c>
      <c r="P136" t="s">
        <v>868</v>
      </c>
      <c r="Q136" t="s">
        <v>48</v>
      </c>
      <c r="R136" t="s">
        <v>49</v>
      </c>
      <c r="S136" t="s">
        <v>50</v>
      </c>
      <c r="T136" t="s">
        <v>50</v>
      </c>
      <c r="U136" t="s">
        <v>49</v>
      </c>
      <c r="V136" t="s">
        <v>49</v>
      </c>
      <c r="W136" t="s">
        <v>50</v>
      </c>
      <c r="X136" t="s">
        <v>49</v>
      </c>
      <c r="Y136" t="s">
        <v>50</v>
      </c>
      <c r="Z136">
        <v>1223.25</v>
      </c>
      <c r="AA136">
        <v>1048.5</v>
      </c>
      <c r="AB136">
        <v>699</v>
      </c>
      <c r="AC136">
        <v>1398</v>
      </c>
      <c r="AD136" t="s">
        <v>49</v>
      </c>
      <c r="AE136">
        <v>10275384</v>
      </c>
      <c r="AF136">
        <v>202522</v>
      </c>
      <c r="AH136" t="s">
        <v>50</v>
      </c>
      <c r="AI136" t="s">
        <v>50</v>
      </c>
      <c r="AJ136" t="s">
        <v>51</v>
      </c>
      <c r="AK136" t="s">
        <v>50</v>
      </c>
      <c r="AM136" t="s">
        <v>49</v>
      </c>
      <c r="AN136" t="s">
        <v>869</v>
      </c>
    </row>
    <row r="137" spans="1:40" x14ac:dyDescent="0.2">
      <c r="A137">
        <v>410677</v>
      </c>
      <c r="B137" t="s">
        <v>870</v>
      </c>
      <c r="C137" t="str">
        <f>"9781593858735"</f>
        <v>9781593858735</v>
      </c>
      <c r="D137" t="str">
        <f>"9781606230879"</f>
        <v>9781606230879</v>
      </c>
      <c r="E137" t="s">
        <v>619</v>
      </c>
      <c r="F137" t="s">
        <v>620</v>
      </c>
      <c r="G137" s="1">
        <v>39785</v>
      </c>
      <c r="H137" s="1">
        <v>39842</v>
      </c>
      <c r="I137" t="s">
        <v>43</v>
      </c>
      <c r="L137" t="s">
        <v>871</v>
      </c>
      <c r="M137" t="s">
        <v>872</v>
      </c>
      <c r="N137" t="s">
        <v>873</v>
      </c>
      <c r="O137" t="s">
        <v>874</v>
      </c>
      <c r="P137" t="s">
        <v>875</v>
      </c>
      <c r="Q137" t="s">
        <v>48</v>
      </c>
      <c r="R137" t="s">
        <v>49</v>
      </c>
      <c r="S137" t="s">
        <v>50</v>
      </c>
      <c r="T137" t="s">
        <v>50</v>
      </c>
      <c r="U137" t="s">
        <v>49</v>
      </c>
      <c r="V137" t="s">
        <v>49</v>
      </c>
      <c r="W137" t="s">
        <v>50</v>
      </c>
      <c r="X137" t="s">
        <v>49</v>
      </c>
      <c r="Y137" t="s">
        <v>50</v>
      </c>
      <c r="Z137">
        <v>166.25</v>
      </c>
      <c r="AA137">
        <v>142.5</v>
      </c>
      <c r="AB137">
        <v>95</v>
      </c>
      <c r="AC137">
        <v>213.75</v>
      </c>
      <c r="AD137" t="s">
        <v>49</v>
      </c>
      <c r="AE137">
        <v>10273958</v>
      </c>
      <c r="AF137">
        <v>196257</v>
      </c>
      <c r="AH137" t="s">
        <v>49</v>
      </c>
      <c r="AI137" t="s">
        <v>50</v>
      </c>
      <c r="AJ137" t="s">
        <v>51</v>
      </c>
      <c r="AK137" t="s">
        <v>50</v>
      </c>
      <c r="AM137" t="s">
        <v>49</v>
      </c>
      <c r="AN137" t="s">
        <v>876</v>
      </c>
    </row>
    <row r="138" spans="1:40" x14ac:dyDescent="0.2">
      <c r="A138">
        <v>413055</v>
      </c>
      <c r="B138" t="s">
        <v>877</v>
      </c>
      <c r="C138" t="str">
        <f>"9781593398439"</f>
        <v>9781593398439</v>
      </c>
      <c r="D138" t="str">
        <f>"9781593392314"</f>
        <v>9781593392314</v>
      </c>
      <c r="E138" t="s">
        <v>768</v>
      </c>
      <c r="F138" t="s">
        <v>769</v>
      </c>
      <c r="G138" s="1">
        <v>39814</v>
      </c>
      <c r="H138" s="1">
        <v>39870</v>
      </c>
      <c r="I138" t="s">
        <v>43</v>
      </c>
      <c r="J138">
        <v>1</v>
      </c>
      <c r="K138" t="s">
        <v>878</v>
      </c>
      <c r="L138" t="s">
        <v>879</v>
      </c>
      <c r="M138" t="s">
        <v>880</v>
      </c>
      <c r="N138" t="s">
        <v>881</v>
      </c>
      <c r="O138" t="s">
        <v>882</v>
      </c>
      <c r="P138" t="s">
        <v>883</v>
      </c>
      <c r="Q138" t="s">
        <v>48</v>
      </c>
      <c r="R138" t="s">
        <v>49</v>
      </c>
      <c r="S138" t="s">
        <v>50</v>
      </c>
      <c r="T138" t="s">
        <v>50</v>
      </c>
      <c r="U138" t="s">
        <v>49</v>
      </c>
      <c r="V138" t="s">
        <v>49</v>
      </c>
      <c r="W138" t="s">
        <v>50</v>
      </c>
      <c r="X138" t="s">
        <v>49</v>
      </c>
      <c r="Y138" t="s">
        <v>50</v>
      </c>
      <c r="Z138">
        <v>29.95</v>
      </c>
      <c r="AA138">
        <v>37.44</v>
      </c>
      <c r="AB138">
        <v>29.95</v>
      </c>
      <c r="AC138">
        <v>44.92</v>
      </c>
      <c r="AD138" t="s">
        <v>49</v>
      </c>
      <c r="AE138">
        <v>10282747</v>
      </c>
      <c r="AF138">
        <v>198400</v>
      </c>
      <c r="AH138" t="s">
        <v>49</v>
      </c>
      <c r="AI138" t="s">
        <v>50</v>
      </c>
      <c r="AJ138" t="s">
        <v>51</v>
      </c>
      <c r="AK138" t="s">
        <v>50</v>
      </c>
      <c r="AM138" t="s">
        <v>49</v>
      </c>
      <c r="AN138" t="s">
        <v>884</v>
      </c>
    </row>
    <row r="139" spans="1:40" x14ac:dyDescent="0.2">
      <c r="A139">
        <v>415073</v>
      </c>
      <c r="B139" t="s">
        <v>885</v>
      </c>
      <c r="C139" t="str">
        <f>"9780195301229"</f>
        <v>9780195301229</v>
      </c>
      <c r="D139" t="str">
        <f>"9780199719686"</f>
        <v>9780199719686</v>
      </c>
      <c r="E139" t="s">
        <v>155</v>
      </c>
      <c r="F139" t="s">
        <v>155</v>
      </c>
      <c r="G139" s="1">
        <v>39417</v>
      </c>
      <c r="H139" s="1">
        <v>39871</v>
      </c>
      <c r="I139" t="s">
        <v>43</v>
      </c>
      <c r="K139" t="s">
        <v>886</v>
      </c>
      <c r="L139" t="s">
        <v>887</v>
      </c>
      <c r="M139" t="s">
        <v>888</v>
      </c>
      <c r="N139" t="s">
        <v>889</v>
      </c>
      <c r="O139">
        <v>324.97300000000001</v>
      </c>
      <c r="P139" t="s">
        <v>890</v>
      </c>
      <c r="Q139" t="s">
        <v>48</v>
      </c>
      <c r="R139" t="s">
        <v>49</v>
      </c>
      <c r="S139" t="s">
        <v>50</v>
      </c>
      <c r="T139" t="s">
        <v>50</v>
      </c>
      <c r="U139" t="s">
        <v>49</v>
      </c>
      <c r="V139" t="s">
        <v>49</v>
      </c>
      <c r="W139" t="s">
        <v>50</v>
      </c>
      <c r="X139" t="s">
        <v>49</v>
      </c>
      <c r="Y139" t="s">
        <v>50</v>
      </c>
      <c r="Z139">
        <v>34.5</v>
      </c>
      <c r="AA139">
        <v>28.23</v>
      </c>
      <c r="AB139">
        <v>20.91</v>
      </c>
      <c r="AC139">
        <v>34.5</v>
      </c>
      <c r="AD139" t="s">
        <v>49</v>
      </c>
      <c r="AE139">
        <v>10194778</v>
      </c>
      <c r="AF139">
        <v>116287</v>
      </c>
      <c r="AH139" t="s">
        <v>49</v>
      </c>
      <c r="AI139" t="s">
        <v>50</v>
      </c>
      <c r="AJ139" t="s">
        <v>51</v>
      </c>
      <c r="AK139" t="s">
        <v>50</v>
      </c>
      <c r="AM139" t="s">
        <v>49</v>
      </c>
      <c r="AN139" t="s">
        <v>891</v>
      </c>
    </row>
    <row r="140" spans="1:40" x14ac:dyDescent="0.2">
      <c r="A140">
        <v>415106</v>
      </c>
      <c r="B140" t="s">
        <v>892</v>
      </c>
      <c r="C140" t="str">
        <f>"9780199207565"</f>
        <v>9780199207565</v>
      </c>
      <c r="D140" t="str">
        <f>"9780191548802"</f>
        <v>9780191548802</v>
      </c>
      <c r="E140" t="s">
        <v>155</v>
      </c>
      <c r="F140" t="s">
        <v>893</v>
      </c>
      <c r="G140" s="1">
        <v>39744</v>
      </c>
      <c r="H140" s="1">
        <v>39872</v>
      </c>
      <c r="I140" t="s">
        <v>43</v>
      </c>
      <c r="L140" t="s">
        <v>894</v>
      </c>
      <c r="M140" t="s">
        <v>571</v>
      </c>
      <c r="N140" t="s">
        <v>895</v>
      </c>
      <c r="O140" t="s">
        <v>896</v>
      </c>
      <c r="P140" t="s">
        <v>897</v>
      </c>
      <c r="Q140" t="s">
        <v>48</v>
      </c>
      <c r="R140" t="s">
        <v>49</v>
      </c>
      <c r="S140" t="s">
        <v>50</v>
      </c>
      <c r="T140" t="s">
        <v>50</v>
      </c>
      <c r="U140" t="s">
        <v>49</v>
      </c>
      <c r="V140" t="s">
        <v>49</v>
      </c>
      <c r="W140" t="s">
        <v>50</v>
      </c>
      <c r="X140" t="s">
        <v>49</v>
      </c>
      <c r="Y140" t="s">
        <v>50</v>
      </c>
      <c r="Z140">
        <v>16.48</v>
      </c>
      <c r="AA140">
        <v>13.49</v>
      </c>
      <c r="AB140">
        <v>9.99</v>
      </c>
      <c r="AC140">
        <v>16.48</v>
      </c>
      <c r="AD140" t="s">
        <v>49</v>
      </c>
      <c r="AE140">
        <v>10278226</v>
      </c>
      <c r="AF140">
        <v>197567</v>
      </c>
      <c r="AH140" t="s">
        <v>49</v>
      </c>
      <c r="AI140" t="s">
        <v>50</v>
      </c>
      <c r="AJ140" t="s">
        <v>51</v>
      </c>
      <c r="AK140" t="s">
        <v>50</v>
      </c>
      <c r="AM140" t="s">
        <v>49</v>
      </c>
      <c r="AN140" t="s">
        <v>898</v>
      </c>
    </row>
    <row r="141" spans="1:40" x14ac:dyDescent="0.2">
      <c r="A141">
        <v>415227</v>
      </c>
      <c r="B141" t="s">
        <v>899</v>
      </c>
      <c r="C141" t="str">
        <f>"9780195306699"</f>
        <v>9780195306699</v>
      </c>
      <c r="D141" t="str">
        <f>"9780199719235"</f>
        <v>9780199719235</v>
      </c>
      <c r="E141" t="s">
        <v>900</v>
      </c>
      <c r="F141" t="s">
        <v>900</v>
      </c>
      <c r="G141" s="1">
        <v>39826</v>
      </c>
      <c r="H141" s="1">
        <v>39871</v>
      </c>
      <c r="I141" t="s">
        <v>43</v>
      </c>
      <c r="L141" t="s">
        <v>901</v>
      </c>
      <c r="M141" t="s">
        <v>91</v>
      </c>
      <c r="N141" t="s">
        <v>902</v>
      </c>
      <c r="O141">
        <v>973.30049599999995</v>
      </c>
      <c r="P141" t="s">
        <v>903</v>
      </c>
      <c r="Q141" t="s">
        <v>48</v>
      </c>
      <c r="R141" t="s">
        <v>49</v>
      </c>
      <c r="S141" t="s">
        <v>50</v>
      </c>
      <c r="T141" t="s">
        <v>50</v>
      </c>
      <c r="U141" t="s">
        <v>49</v>
      </c>
      <c r="V141" t="s">
        <v>49</v>
      </c>
      <c r="W141" t="s">
        <v>50</v>
      </c>
      <c r="X141" t="s">
        <v>49</v>
      </c>
      <c r="Y141" t="s">
        <v>50</v>
      </c>
      <c r="Z141">
        <v>177.04</v>
      </c>
      <c r="AA141">
        <v>144.86000000000001</v>
      </c>
      <c r="AB141">
        <v>107.3</v>
      </c>
      <c r="AC141">
        <v>177.04</v>
      </c>
      <c r="AD141" t="s">
        <v>49</v>
      </c>
      <c r="AE141">
        <v>10273221</v>
      </c>
      <c r="AF141">
        <v>192549</v>
      </c>
      <c r="AH141" t="s">
        <v>49</v>
      </c>
      <c r="AI141" t="s">
        <v>50</v>
      </c>
      <c r="AJ141" t="s">
        <v>51</v>
      </c>
      <c r="AK141" t="s">
        <v>50</v>
      </c>
      <c r="AM141" t="s">
        <v>49</v>
      </c>
      <c r="AN141" t="s">
        <v>904</v>
      </c>
    </row>
    <row r="142" spans="1:40" x14ac:dyDescent="0.2">
      <c r="A142">
        <v>415493</v>
      </c>
      <c r="B142" t="s">
        <v>905</v>
      </c>
      <c r="C142" t="str">
        <f>"9780195310221"</f>
        <v>9780195310221</v>
      </c>
      <c r="D142" t="str">
        <f>"9780199718719"</f>
        <v>9780199718719</v>
      </c>
      <c r="E142" t="s">
        <v>900</v>
      </c>
      <c r="F142" t="s">
        <v>900</v>
      </c>
      <c r="G142" s="1">
        <v>39738</v>
      </c>
      <c r="H142" s="1">
        <v>39871</v>
      </c>
      <c r="I142" t="s">
        <v>43</v>
      </c>
      <c r="L142" t="s">
        <v>906</v>
      </c>
      <c r="M142" t="s">
        <v>91</v>
      </c>
      <c r="N142" t="s">
        <v>907</v>
      </c>
      <c r="O142">
        <v>973.70920000000001</v>
      </c>
      <c r="P142" t="s">
        <v>908</v>
      </c>
      <c r="Q142" t="s">
        <v>48</v>
      </c>
      <c r="R142" t="s">
        <v>49</v>
      </c>
      <c r="S142" t="s">
        <v>50</v>
      </c>
      <c r="T142" t="s">
        <v>50</v>
      </c>
      <c r="U142" t="s">
        <v>49</v>
      </c>
      <c r="V142" t="s">
        <v>49</v>
      </c>
      <c r="W142" t="s">
        <v>50</v>
      </c>
      <c r="X142" t="s">
        <v>49</v>
      </c>
      <c r="Y142" t="s">
        <v>50</v>
      </c>
      <c r="Z142">
        <v>164.84</v>
      </c>
      <c r="AA142">
        <v>134.86000000000001</v>
      </c>
      <c r="AB142">
        <v>99.9</v>
      </c>
      <c r="AC142">
        <v>164.84</v>
      </c>
      <c r="AD142" t="s">
        <v>49</v>
      </c>
      <c r="AE142">
        <v>10254425</v>
      </c>
      <c r="AF142">
        <v>182586</v>
      </c>
      <c r="AH142" t="s">
        <v>49</v>
      </c>
      <c r="AI142" t="s">
        <v>50</v>
      </c>
      <c r="AJ142" t="s">
        <v>51</v>
      </c>
      <c r="AK142" t="s">
        <v>50</v>
      </c>
      <c r="AM142" t="s">
        <v>49</v>
      </c>
      <c r="AN142" t="s">
        <v>909</v>
      </c>
    </row>
    <row r="143" spans="1:40" x14ac:dyDescent="0.2">
      <c r="A143">
        <v>415511</v>
      </c>
      <c r="B143" t="s">
        <v>910</v>
      </c>
      <c r="C143" t="str">
        <f>"9780195313376"</f>
        <v>9780195313376</v>
      </c>
      <c r="D143" t="str">
        <f>"9780198042747"</f>
        <v>9780198042747</v>
      </c>
      <c r="E143" t="s">
        <v>900</v>
      </c>
      <c r="F143" t="s">
        <v>900</v>
      </c>
      <c r="G143" s="1">
        <v>39798</v>
      </c>
      <c r="H143" s="1">
        <v>39871</v>
      </c>
      <c r="I143" t="s">
        <v>43</v>
      </c>
      <c r="K143" t="s">
        <v>911</v>
      </c>
      <c r="L143" t="s">
        <v>912</v>
      </c>
      <c r="M143" t="s">
        <v>675</v>
      </c>
      <c r="N143" t="s">
        <v>913</v>
      </c>
      <c r="O143">
        <v>616.89499999999998</v>
      </c>
      <c r="P143" t="s">
        <v>914</v>
      </c>
      <c r="Q143" t="s">
        <v>48</v>
      </c>
      <c r="R143" t="s">
        <v>49</v>
      </c>
      <c r="S143" t="s">
        <v>50</v>
      </c>
      <c r="T143" t="s">
        <v>50</v>
      </c>
      <c r="U143" t="s">
        <v>49</v>
      </c>
      <c r="V143" t="s">
        <v>49</v>
      </c>
      <c r="W143" t="s">
        <v>50</v>
      </c>
      <c r="X143" t="s">
        <v>49</v>
      </c>
      <c r="Y143" t="s">
        <v>50</v>
      </c>
      <c r="Z143">
        <v>270.27</v>
      </c>
      <c r="AA143">
        <v>221.13</v>
      </c>
      <c r="AB143">
        <v>163.80000000000001</v>
      </c>
      <c r="AC143">
        <v>270.27</v>
      </c>
      <c r="AD143" t="s">
        <v>49</v>
      </c>
      <c r="AE143">
        <v>10273181</v>
      </c>
      <c r="AF143">
        <v>192550</v>
      </c>
      <c r="AH143" t="s">
        <v>49</v>
      </c>
      <c r="AI143" t="s">
        <v>50</v>
      </c>
      <c r="AJ143" t="s">
        <v>51</v>
      </c>
      <c r="AK143" t="s">
        <v>50</v>
      </c>
      <c r="AM143" t="s">
        <v>49</v>
      </c>
      <c r="AN143" t="s">
        <v>915</v>
      </c>
    </row>
    <row r="144" spans="1:40" x14ac:dyDescent="0.2">
      <c r="A144">
        <v>415852</v>
      </c>
      <c r="B144" t="s">
        <v>916</v>
      </c>
      <c r="C144" t="str">
        <f>"9780195148244"</f>
        <v>9780195148244</v>
      </c>
      <c r="D144" t="str">
        <f>"9780199722419"</f>
        <v>9780199722419</v>
      </c>
      <c r="E144" t="s">
        <v>900</v>
      </c>
      <c r="F144" t="s">
        <v>900</v>
      </c>
      <c r="G144" s="1">
        <v>39841</v>
      </c>
      <c r="H144" s="1">
        <v>39871</v>
      </c>
      <c r="I144" t="s">
        <v>43</v>
      </c>
      <c r="L144" t="s">
        <v>917</v>
      </c>
      <c r="M144" t="s">
        <v>386</v>
      </c>
      <c r="N144" t="s">
        <v>918</v>
      </c>
      <c r="O144" t="s">
        <v>919</v>
      </c>
      <c r="P144" t="s">
        <v>920</v>
      </c>
      <c r="Q144" t="s">
        <v>48</v>
      </c>
      <c r="R144" t="s">
        <v>49</v>
      </c>
      <c r="S144" t="s">
        <v>50</v>
      </c>
      <c r="T144" t="s">
        <v>50</v>
      </c>
      <c r="U144" t="s">
        <v>49</v>
      </c>
      <c r="V144" t="s">
        <v>49</v>
      </c>
      <c r="W144" t="s">
        <v>50</v>
      </c>
      <c r="X144" t="s">
        <v>49</v>
      </c>
      <c r="Y144" t="s">
        <v>50</v>
      </c>
      <c r="Z144">
        <v>222.73</v>
      </c>
      <c r="AA144">
        <v>182.24</v>
      </c>
      <c r="AB144">
        <v>134.99</v>
      </c>
      <c r="AC144">
        <v>222.73</v>
      </c>
      <c r="AD144" t="s">
        <v>49</v>
      </c>
      <c r="AE144">
        <v>10272922</v>
      </c>
      <c r="AF144">
        <v>193087</v>
      </c>
      <c r="AH144" t="s">
        <v>49</v>
      </c>
      <c r="AI144" t="s">
        <v>50</v>
      </c>
      <c r="AJ144" t="s">
        <v>51</v>
      </c>
      <c r="AK144" t="s">
        <v>50</v>
      </c>
      <c r="AM144" t="s">
        <v>49</v>
      </c>
      <c r="AN144" t="s">
        <v>921</v>
      </c>
    </row>
    <row r="145" spans="1:40" x14ac:dyDescent="0.2">
      <c r="A145">
        <v>415911</v>
      </c>
      <c r="B145" t="s">
        <v>922</v>
      </c>
      <c r="C145" t="str">
        <f>"9780195314359"</f>
        <v>9780195314359</v>
      </c>
      <c r="D145" t="str">
        <f>"9780198042891"</f>
        <v>9780198042891</v>
      </c>
      <c r="E145" t="s">
        <v>900</v>
      </c>
      <c r="F145" t="s">
        <v>900</v>
      </c>
      <c r="G145" s="1">
        <v>39400</v>
      </c>
      <c r="H145" s="1">
        <v>39871</v>
      </c>
      <c r="I145" t="s">
        <v>43</v>
      </c>
      <c r="K145" t="s">
        <v>923</v>
      </c>
      <c r="L145" t="s">
        <v>924</v>
      </c>
      <c r="M145" t="s">
        <v>91</v>
      </c>
      <c r="N145" t="s">
        <v>925</v>
      </c>
      <c r="O145">
        <v>973.74560919999999</v>
      </c>
      <c r="P145" t="s">
        <v>926</v>
      </c>
      <c r="Q145" t="s">
        <v>48</v>
      </c>
      <c r="R145" t="s">
        <v>49</v>
      </c>
      <c r="S145" t="s">
        <v>50</v>
      </c>
      <c r="T145" t="s">
        <v>50</v>
      </c>
      <c r="U145" t="s">
        <v>49</v>
      </c>
      <c r="V145" t="s">
        <v>49</v>
      </c>
      <c r="W145" t="s">
        <v>50</v>
      </c>
      <c r="X145" t="s">
        <v>49</v>
      </c>
      <c r="Y145" t="s">
        <v>50</v>
      </c>
      <c r="Z145">
        <v>74.05</v>
      </c>
      <c r="AA145">
        <v>60.59</v>
      </c>
      <c r="AB145">
        <v>44.88</v>
      </c>
      <c r="AC145">
        <v>74.05</v>
      </c>
      <c r="AD145" t="s">
        <v>49</v>
      </c>
      <c r="AE145">
        <v>10199708</v>
      </c>
      <c r="AF145">
        <v>116385</v>
      </c>
      <c r="AH145" t="s">
        <v>49</v>
      </c>
      <c r="AI145" t="s">
        <v>50</v>
      </c>
      <c r="AJ145" t="s">
        <v>51</v>
      </c>
      <c r="AK145" t="s">
        <v>50</v>
      </c>
      <c r="AM145" t="s">
        <v>49</v>
      </c>
      <c r="AN145" t="s">
        <v>927</v>
      </c>
    </row>
    <row r="146" spans="1:40" x14ac:dyDescent="0.2">
      <c r="A146">
        <v>415964</v>
      </c>
      <c r="B146" t="s">
        <v>928</v>
      </c>
      <c r="C146" t="str">
        <f>"9780195307580"</f>
        <v>9780195307580</v>
      </c>
      <c r="D146" t="str">
        <f>"9780199719082"</f>
        <v>9780199719082</v>
      </c>
      <c r="E146" t="s">
        <v>900</v>
      </c>
      <c r="F146" t="s">
        <v>900</v>
      </c>
      <c r="G146" s="1">
        <v>39630</v>
      </c>
      <c r="H146" s="1">
        <v>39871</v>
      </c>
      <c r="I146" t="s">
        <v>43</v>
      </c>
      <c r="L146" t="s">
        <v>929</v>
      </c>
      <c r="M146" t="s">
        <v>91</v>
      </c>
      <c r="N146" t="s">
        <v>930</v>
      </c>
      <c r="O146" t="s">
        <v>931</v>
      </c>
      <c r="P146" t="s">
        <v>932</v>
      </c>
      <c r="Q146" t="s">
        <v>48</v>
      </c>
      <c r="R146" t="s">
        <v>49</v>
      </c>
      <c r="S146" t="s">
        <v>50</v>
      </c>
      <c r="T146" t="s">
        <v>50</v>
      </c>
      <c r="U146" t="s">
        <v>49</v>
      </c>
      <c r="V146" t="s">
        <v>49</v>
      </c>
      <c r="W146" t="s">
        <v>50</v>
      </c>
      <c r="X146" t="s">
        <v>49</v>
      </c>
      <c r="Y146" t="s">
        <v>50</v>
      </c>
      <c r="Z146">
        <v>236.86</v>
      </c>
      <c r="AA146">
        <v>193.79</v>
      </c>
      <c r="AB146">
        <v>143.55000000000001</v>
      </c>
      <c r="AC146">
        <v>236.86</v>
      </c>
      <c r="AD146" t="s">
        <v>49</v>
      </c>
      <c r="AE146">
        <v>10229919</v>
      </c>
      <c r="AF146">
        <v>134195</v>
      </c>
      <c r="AH146" t="s">
        <v>49</v>
      </c>
      <c r="AI146" t="s">
        <v>50</v>
      </c>
      <c r="AJ146" t="s">
        <v>51</v>
      </c>
      <c r="AK146" t="s">
        <v>50</v>
      </c>
      <c r="AM146" t="s">
        <v>49</v>
      </c>
      <c r="AN146" t="s">
        <v>933</v>
      </c>
    </row>
    <row r="147" spans="1:40" x14ac:dyDescent="0.2">
      <c r="A147">
        <v>416045</v>
      </c>
      <c r="B147" t="s">
        <v>934</v>
      </c>
      <c r="C147" t="str">
        <f>"9780195174946"</f>
        <v>9780195174946</v>
      </c>
      <c r="D147" t="str">
        <f>"9780195346572"</f>
        <v>9780195346572</v>
      </c>
      <c r="E147" t="s">
        <v>900</v>
      </c>
      <c r="F147" t="s">
        <v>900</v>
      </c>
      <c r="G147" s="1">
        <v>39023</v>
      </c>
      <c r="H147" s="1">
        <v>39871</v>
      </c>
      <c r="I147" t="s">
        <v>43</v>
      </c>
      <c r="K147" t="s">
        <v>935</v>
      </c>
      <c r="L147" t="s">
        <v>936</v>
      </c>
      <c r="M147" t="s">
        <v>45</v>
      </c>
      <c r="N147" t="s">
        <v>937</v>
      </c>
      <c r="O147">
        <v>480.07100000000003</v>
      </c>
      <c r="P147" t="s">
        <v>938</v>
      </c>
      <c r="Q147" t="s">
        <v>48</v>
      </c>
      <c r="R147" t="s">
        <v>49</v>
      </c>
      <c r="S147" t="s">
        <v>50</v>
      </c>
      <c r="T147" t="s">
        <v>50</v>
      </c>
      <c r="U147" t="s">
        <v>49</v>
      </c>
      <c r="V147" t="s">
        <v>49</v>
      </c>
      <c r="W147" t="s">
        <v>50</v>
      </c>
      <c r="X147" t="s">
        <v>49</v>
      </c>
      <c r="Y147" t="s">
        <v>50</v>
      </c>
      <c r="Z147">
        <v>167.48</v>
      </c>
      <c r="AA147">
        <v>137.02000000000001</v>
      </c>
      <c r="AB147">
        <v>101.5</v>
      </c>
      <c r="AC147">
        <v>167.48</v>
      </c>
      <c r="AD147" t="s">
        <v>49</v>
      </c>
      <c r="AE147">
        <v>10177861</v>
      </c>
      <c r="AF147">
        <v>84488</v>
      </c>
      <c r="AH147" t="s">
        <v>49</v>
      </c>
      <c r="AI147" t="s">
        <v>50</v>
      </c>
      <c r="AJ147" t="s">
        <v>51</v>
      </c>
      <c r="AK147" t="s">
        <v>50</v>
      </c>
      <c r="AM147" t="s">
        <v>49</v>
      </c>
      <c r="AN147" t="s">
        <v>939</v>
      </c>
    </row>
    <row r="148" spans="1:40" x14ac:dyDescent="0.2">
      <c r="A148">
        <v>416539</v>
      </c>
      <c r="B148" t="s">
        <v>940</v>
      </c>
      <c r="C148" t="str">
        <f>"9781405184960"</f>
        <v>9781405184960</v>
      </c>
      <c r="D148" t="str">
        <f>"9781444305005"</f>
        <v>9781444305005</v>
      </c>
      <c r="E148" t="s">
        <v>54</v>
      </c>
      <c r="F148" t="s">
        <v>192</v>
      </c>
      <c r="G148" s="1">
        <v>39505</v>
      </c>
      <c r="H148" s="1">
        <v>39880</v>
      </c>
      <c r="I148" t="s">
        <v>43</v>
      </c>
      <c r="J148">
        <v>1</v>
      </c>
      <c r="K148" t="s">
        <v>941</v>
      </c>
      <c r="L148" t="s">
        <v>942</v>
      </c>
      <c r="M148" t="s">
        <v>234</v>
      </c>
      <c r="N148" t="s">
        <v>943</v>
      </c>
      <c r="O148">
        <v>300.10000000000002</v>
      </c>
      <c r="P148" t="s">
        <v>944</v>
      </c>
      <c r="Q148" t="s">
        <v>48</v>
      </c>
      <c r="R148" t="s">
        <v>49</v>
      </c>
      <c r="S148" t="s">
        <v>50</v>
      </c>
      <c r="T148" t="s">
        <v>50</v>
      </c>
      <c r="U148" t="s">
        <v>49</v>
      </c>
      <c r="V148" t="s">
        <v>49</v>
      </c>
      <c r="W148" t="s">
        <v>50</v>
      </c>
      <c r="X148" t="s">
        <v>49</v>
      </c>
      <c r="Y148" t="s">
        <v>50</v>
      </c>
      <c r="Z148">
        <v>366.75</v>
      </c>
      <c r="AA148">
        <v>366.75</v>
      </c>
      <c r="AB148">
        <v>244.5</v>
      </c>
      <c r="AC148">
        <v>427.88</v>
      </c>
      <c r="AD148" t="s">
        <v>49</v>
      </c>
      <c r="AE148">
        <v>10301344</v>
      </c>
      <c r="AF148">
        <v>200765</v>
      </c>
      <c r="AH148" t="s">
        <v>50</v>
      </c>
      <c r="AI148" t="s">
        <v>50</v>
      </c>
      <c r="AJ148" t="s">
        <v>51</v>
      </c>
      <c r="AK148" t="s">
        <v>50</v>
      </c>
      <c r="AM148" t="s">
        <v>49</v>
      </c>
      <c r="AN148" t="s">
        <v>945</v>
      </c>
    </row>
    <row r="149" spans="1:40" x14ac:dyDescent="0.2">
      <c r="A149">
        <v>419331</v>
      </c>
      <c r="B149" t="s">
        <v>946</v>
      </c>
      <c r="C149" t="str">
        <f>"9781861349408"</f>
        <v>9781861349408</v>
      </c>
      <c r="D149" t="str">
        <f>"9781847423573"</f>
        <v>9781847423573</v>
      </c>
      <c r="E149" t="s">
        <v>947</v>
      </c>
      <c r="F149" t="s">
        <v>947</v>
      </c>
      <c r="G149" s="1">
        <v>39638</v>
      </c>
      <c r="H149" s="1">
        <v>39897</v>
      </c>
      <c r="I149" t="s">
        <v>43</v>
      </c>
      <c r="J149">
        <v>1</v>
      </c>
      <c r="L149" t="s">
        <v>948</v>
      </c>
      <c r="M149" t="s">
        <v>234</v>
      </c>
      <c r="N149" t="s">
        <v>949</v>
      </c>
      <c r="O149">
        <v>364.15</v>
      </c>
      <c r="P149" t="s">
        <v>950</v>
      </c>
      <c r="Q149" t="s">
        <v>48</v>
      </c>
      <c r="R149" t="s">
        <v>49</v>
      </c>
      <c r="S149" t="s">
        <v>50</v>
      </c>
      <c r="T149" t="s">
        <v>50</v>
      </c>
      <c r="U149" t="s">
        <v>49</v>
      </c>
      <c r="V149" t="s">
        <v>49</v>
      </c>
      <c r="W149" t="s">
        <v>50</v>
      </c>
      <c r="X149" t="s">
        <v>50</v>
      </c>
      <c r="Y149" t="s">
        <v>49</v>
      </c>
      <c r="Z149">
        <v>262.42</v>
      </c>
      <c r="AA149">
        <v>218.69</v>
      </c>
      <c r="AB149">
        <v>174.95</v>
      </c>
      <c r="AC149">
        <v>349.9</v>
      </c>
      <c r="AD149" t="s">
        <v>49</v>
      </c>
      <c r="AE149">
        <v>10281243</v>
      </c>
      <c r="AF149">
        <v>197546</v>
      </c>
      <c r="AH149" t="s">
        <v>49</v>
      </c>
      <c r="AI149" t="s">
        <v>49</v>
      </c>
      <c r="AJ149" t="s">
        <v>51</v>
      </c>
      <c r="AK149" t="s">
        <v>50</v>
      </c>
      <c r="AM149" t="s">
        <v>49</v>
      </c>
      <c r="AN149" t="s">
        <v>951</v>
      </c>
    </row>
    <row r="150" spans="1:40" x14ac:dyDescent="0.2">
      <c r="A150">
        <v>420893</v>
      </c>
      <c r="B150" t="s">
        <v>952</v>
      </c>
      <c r="C150" t="str">
        <f>"9781412920803"</f>
        <v>9781412920803</v>
      </c>
      <c r="D150" t="str">
        <f>"9781849202350"</f>
        <v>9781849202350</v>
      </c>
      <c r="E150" t="s">
        <v>581</v>
      </c>
      <c r="F150" t="s">
        <v>581</v>
      </c>
      <c r="G150" s="1">
        <v>39464</v>
      </c>
      <c r="H150" s="1">
        <v>39892</v>
      </c>
      <c r="I150" t="s">
        <v>43</v>
      </c>
      <c r="J150">
        <v>1</v>
      </c>
      <c r="K150" t="s">
        <v>953</v>
      </c>
      <c r="L150" t="s">
        <v>954</v>
      </c>
      <c r="M150" t="s">
        <v>234</v>
      </c>
      <c r="N150" t="s">
        <v>955</v>
      </c>
      <c r="O150">
        <v>364.10899999999998</v>
      </c>
      <c r="P150" t="s">
        <v>956</v>
      </c>
      <c r="Q150" t="s">
        <v>48</v>
      </c>
      <c r="R150" t="s">
        <v>49</v>
      </c>
      <c r="S150" t="s">
        <v>50</v>
      </c>
      <c r="T150" t="s">
        <v>50</v>
      </c>
      <c r="U150" t="s">
        <v>49</v>
      </c>
      <c r="V150" t="s">
        <v>49</v>
      </c>
      <c r="W150" t="s">
        <v>50</v>
      </c>
      <c r="X150" t="s">
        <v>49</v>
      </c>
      <c r="Y150" t="s">
        <v>50</v>
      </c>
      <c r="Z150">
        <v>294</v>
      </c>
      <c r="AA150">
        <v>245</v>
      </c>
      <c r="AB150">
        <v>196</v>
      </c>
      <c r="AC150">
        <v>294</v>
      </c>
      <c r="AD150" t="s">
        <v>49</v>
      </c>
      <c r="AE150">
        <v>10285204</v>
      </c>
      <c r="AF150">
        <v>202102</v>
      </c>
      <c r="AH150" t="s">
        <v>49</v>
      </c>
      <c r="AI150" t="s">
        <v>50</v>
      </c>
      <c r="AJ150" t="s">
        <v>51</v>
      </c>
      <c r="AK150" t="s">
        <v>50</v>
      </c>
      <c r="AM150" t="s">
        <v>49</v>
      </c>
      <c r="AN150" t="s">
        <v>957</v>
      </c>
    </row>
    <row r="151" spans="1:40" x14ac:dyDescent="0.2">
      <c r="A151">
        <v>422183</v>
      </c>
      <c r="B151" t="s">
        <v>958</v>
      </c>
      <c r="C151" t="str">
        <f>"9781598692587"</f>
        <v>9781598692587</v>
      </c>
      <c r="D151" t="str">
        <f>"9781605502663"</f>
        <v>9781605502663</v>
      </c>
      <c r="E151" t="s">
        <v>959</v>
      </c>
      <c r="F151" t="s">
        <v>960</v>
      </c>
      <c r="G151" s="1">
        <v>39213</v>
      </c>
      <c r="H151" s="1">
        <v>39900</v>
      </c>
      <c r="I151" t="s">
        <v>43</v>
      </c>
      <c r="K151" t="s">
        <v>961</v>
      </c>
      <c r="L151" t="s">
        <v>962</v>
      </c>
      <c r="M151" t="s">
        <v>91</v>
      </c>
      <c r="N151" t="s">
        <v>963</v>
      </c>
      <c r="O151" t="s">
        <v>964</v>
      </c>
      <c r="P151" t="s">
        <v>965</v>
      </c>
      <c r="Q151" t="s">
        <v>48</v>
      </c>
      <c r="R151" t="s">
        <v>50</v>
      </c>
      <c r="S151" t="s">
        <v>50</v>
      </c>
      <c r="T151" t="s">
        <v>50</v>
      </c>
      <c r="U151" t="s">
        <v>49</v>
      </c>
      <c r="V151" t="s">
        <v>49</v>
      </c>
      <c r="W151" t="s">
        <v>50</v>
      </c>
      <c r="X151" t="s">
        <v>50</v>
      </c>
      <c r="Y151" t="s">
        <v>50</v>
      </c>
      <c r="AB151">
        <v>50</v>
      </c>
      <c r="AD151" t="s">
        <v>50</v>
      </c>
      <c r="AF151">
        <v>208256</v>
      </c>
      <c r="AH151" t="s">
        <v>50</v>
      </c>
      <c r="AI151" t="s">
        <v>50</v>
      </c>
      <c r="AJ151" t="s">
        <v>51</v>
      </c>
      <c r="AK151" t="s">
        <v>50</v>
      </c>
      <c r="AM151" t="s">
        <v>49</v>
      </c>
      <c r="AN151" t="s">
        <v>966</v>
      </c>
    </row>
    <row r="152" spans="1:40" x14ac:dyDescent="0.2">
      <c r="A152">
        <v>422194</v>
      </c>
      <c r="B152" t="s">
        <v>967</v>
      </c>
      <c r="C152" t="str">
        <f>"9781593375850"</f>
        <v>9781593375850</v>
      </c>
      <c r="D152" t="str">
        <f>"9781605503417"</f>
        <v>9781605503417</v>
      </c>
      <c r="E152" t="s">
        <v>959</v>
      </c>
      <c r="F152" t="s">
        <v>960</v>
      </c>
      <c r="G152" s="1">
        <v>38825</v>
      </c>
      <c r="H152" s="1">
        <v>39900</v>
      </c>
      <c r="I152" t="s">
        <v>43</v>
      </c>
      <c r="J152">
        <v>1</v>
      </c>
      <c r="K152" t="s">
        <v>961</v>
      </c>
      <c r="L152" t="s">
        <v>968</v>
      </c>
      <c r="M152" t="s">
        <v>675</v>
      </c>
      <c r="N152" t="s">
        <v>969</v>
      </c>
      <c r="O152" t="s">
        <v>970</v>
      </c>
      <c r="P152" t="s">
        <v>971</v>
      </c>
      <c r="Q152" t="s">
        <v>48</v>
      </c>
      <c r="R152" t="s">
        <v>50</v>
      </c>
      <c r="S152" t="s">
        <v>50</v>
      </c>
      <c r="T152" t="s">
        <v>50</v>
      </c>
      <c r="U152" t="s">
        <v>49</v>
      </c>
      <c r="V152" t="s">
        <v>49</v>
      </c>
      <c r="W152" t="s">
        <v>50</v>
      </c>
      <c r="X152" t="s">
        <v>50</v>
      </c>
      <c r="Y152" t="s">
        <v>50</v>
      </c>
      <c r="AB152">
        <v>18.690000000000001</v>
      </c>
      <c r="AD152" t="s">
        <v>49</v>
      </c>
      <c r="AF152">
        <v>208586</v>
      </c>
      <c r="AH152" t="s">
        <v>50</v>
      </c>
      <c r="AI152" t="s">
        <v>50</v>
      </c>
      <c r="AJ152" t="s">
        <v>51</v>
      </c>
      <c r="AK152" t="s">
        <v>50</v>
      </c>
      <c r="AM152" t="s">
        <v>49</v>
      </c>
      <c r="AN152" t="s">
        <v>972</v>
      </c>
    </row>
    <row r="153" spans="1:40" x14ac:dyDescent="0.2">
      <c r="A153">
        <v>422256</v>
      </c>
      <c r="B153" t="s">
        <v>973</v>
      </c>
      <c r="C153" t="str">
        <f>"9781593373078"</f>
        <v>9781593373078</v>
      </c>
      <c r="D153" t="str">
        <f>"9781605504414"</f>
        <v>9781605504414</v>
      </c>
      <c r="E153" t="s">
        <v>959</v>
      </c>
      <c r="F153" t="s">
        <v>960</v>
      </c>
      <c r="G153" s="1">
        <v>38411</v>
      </c>
      <c r="H153" s="1">
        <v>39900</v>
      </c>
      <c r="I153" t="s">
        <v>43</v>
      </c>
      <c r="K153" t="s">
        <v>961</v>
      </c>
      <c r="L153" t="s">
        <v>974</v>
      </c>
      <c r="M153" t="s">
        <v>45</v>
      </c>
      <c r="N153" t="s">
        <v>975</v>
      </c>
      <c r="O153" t="s">
        <v>976</v>
      </c>
      <c r="P153" t="s">
        <v>977</v>
      </c>
      <c r="Q153" t="s">
        <v>48</v>
      </c>
      <c r="R153" t="s">
        <v>50</v>
      </c>
      <c r="S153" t="s">
        <v>50</v>
      </c>
      <c r="T153" t="s">
        <v>50</v>
      </c>
      <c r="U153" t="s">
        <v>49</v>
      </c>
      <c r="V153" t="s">
        <v>49</v>
      </c>
      <c r="W153" t="s">
        <v>50</v>
      </c>
      <c r="X153" t="s">
        <v>50</v>
      </c>
      <c r="Y153" t="s">
        <v>50</v>
      </c>
      <c r="AB153">
        <v>12.44</v>
      </c>
      <c r="AD153" t="s">
        <v>49</v>
      </c>
      <c r="AF153">
        <v>208631</v>
      </c>
      <c r="AH153" t="s">
        <v>50</v>
      </c>
      <c r="AI153" t="s">
        <v>50</v>
      </c>
      <c r="AJ153" t="s">
        <v>51</v>
      </c>
      <c r="AK153" t="s">
        <v>50</v>
      </c>
      <c r="AM153" t="s">
        <v>49</v>
      </c>
      <c r="AN153" t="s">
        <v>978</v>
      </c>
    </row>
    <row r="154" spans="1:40" x14ac:dyDescent="0.2">
      <c r="A154">
        <v>422257</v>
      </c>
      <c r="B154" t="s">
        <v>979</v>
      </c>
      <c r="C154" t="str">
        <f>"9781593371340"</f>
        <v>9781593371340</v>
      </c>
      <c r="D154" t="str">
        <f>"9781605504612"</f>
        <v>9781605504612</v>
      </c>
      <c r="E154" t="s">
        <v>959</v>
      </c>
      <c r="F154" t="s">
        <v>960</v>
      </c>
      <c r="G154" s="1">
        <v>38247</v>
      </c>
      <c r="H154" s="1">
        <v>39900</v>
      </c>
      <c r="I154" t="s">
        <v>43</v>
      </c>
      <c r="J154">
        <v>2</v>
      </c>
      <c r="K154" t="s">
        <v>961</v>
      </c>
      <c r="L154" t="s">
        <v>974</v>
      </c>
      <c r="M154" t="s">
        <v>45</v>
      </c>
      <c r="N154" t="s">
        <v>980</v>
      </c>
      <c r="O154" t="s">
        <v>981</v>
      </c>
      <c r="P154" t="s">
        <v>598</v>
      </c>
      <c r="Q154" t="s">
        <v>48</v>
      </c>
      <c r="R154" t="s">
        <v>50</v>
      </c>
      <c r="S154" t="s">
        <v>50</v>
      </c>
      <c r="T154" t="s">
        <v>50</v>
      </c>
      <c r="U154" t="s">
        <v>49</v>
      </c>
      <c r="V154" t="s">
        <v>49</v>
      </c>
      <c r="W154" t="s">
        <v>50</v>
      </c>
      <c r="X154" t="s">
        <v>50</v>
      </c>
      <c r="Y154" t="s">
        <v>50</v>
      </c>
      <c r="AB154">
        <v>12.44</v>
      </c>
      <c r="AD154" t="s">
        <v>49</v>
      </c>
      <c r="AF154">
        <v>208635</v>
      </c>
      <c r="AH154" t="s">
        <v>50</v>
      </c>
      <c r="AI154" t="s">
        <v>50</v>
      </c>
      <c r="AJ154" t="s">
        <v>51</v>
      </c>
      <c r="AK154" t="s">
        <v>50</v>
      </c>
      <c r="AM154" t="s">
        <v>49</v>
      </c>
      <c r="AN154" t="s">
        <v>982</v>
      </c>
    </row>
    <row r="155" spans="1:40" x14ac:dyDescent="0.2">
      <c r="A155">
        <v>422262</v>
      </c>
      <c r="B155" t="s">
        <v>983</v>
      </c>
      <c r="C155" t="str">
        <f>"9781593370497"</f>
        <v>9781593370497</v>
      </c>
      <c r="D155" t="str">
        <f>"9781605504827"</f>
        <v>9781605504827</v>
      </c>
      <c r="E155" t="s">
        <v>959</v>
      </c>
      <c r="F155" t="s">
        <v>960</v>
      </c>
      <c r="G155" s="1">
        <v>38142</v>
      </c>
      <c r="H155" s="1">
        <v>39900</v>
      </c>
      <c r="I155" t="s">
        <v>43</v>
      </c>
      <c r="J155">
        <v>3</v>
      </c>
      <c r="K155" t="s">
        <v>961</v>
      </c>
      <c r="L155" t="s">
        <v>984</v>
      </c>
      <c r="M155" t="s">
        <v>45</v>
      </c>
      <c r="N155" t="s">
        <v>985</v>
      </c>
      <c r="O155" t="s">
        <v>986</v>
      </c>
      <c r="P155" t="s">
        <v>598</v>
      </c>
      <c r="Q155" t="s">
        <v>48</v>
      </c>
      <c r="R155" t="s">
        <v>50</v>
      </c>
      <c r="S155" t="s">
        <v>50</v>
      </c>
      <c r="T155" t="s">
        <v>50</v>
      </c>
      <c r="U155" t="s">
        <v>49</v>
      </c>
      <c r="V155" t="s">
        <v>49</v>
      </c>
      <c r="W155" t="s">
        <v>50</v>
      </c>
      <c r="X155" t="s">
        <v>50</v>
      </c>
      <c r="Y155" t="s">
        <v>50</v>
      </c>
      <c r="AB155">
        <v>12.44</v>
      </c>
      <c r="AD155" t="s">
        <v>49</v>
      </c>
      <c r="AF155">
        <v>208644</v>
      </c>
      <c r="AH155" t="s">
        <v>50</v>
      </c>
      <c r="AI155" t="s">
        <v>50</v>
      </c>
      <c r="AJ155" t="s">
        <v>51</v>
      </c>
      <c r="AK155" t="s">
        <v>50</v>
      </c>
      <c r="AM155" t="s">
        <v>49</v>
      </c>
      <c r="AN155" t="s">
        <v>987</v>
      </c>
    </row>
    <row r="156" spans="1:40" x14ac:dyDescent="0.2">
      <c r="A156">
        <v>422273</v>
      </c>
      <c r="B156" t="s">
        <v>988</v>
      </c>
      <c r="C156" t="str">
        <f>"9781598692617"</f>
        <v>9781598692617</v>
      </c>
      <c r="D156" t="str">
        <f>"9781605502656"</f>
        <v>9781605502656</v>
      </c>
      <c r="E156" t="s">
        <v>959</v>
      </c>
      <c r="F156" t="s">
        <v>960</v>
      </c>
      <c r="G156" s="1">
        <v>39213</v>
      </c>
      <c r="H156" s="1">
        <v>39900</v>
      </c>
      <c r="I156" t="s">
        <v>43</v>
      </c>
      <c r="K156" t="s">
        <v>961</v>
      </c>
      <c r="L156" t="s">
        <v>989</v>
      </c>
      <c r="M156" t="s">
        <v>91</v>
      </c>
      <c r="N156" t="s">
        <v>990</v>
      </c>
      <c r="O156">
        <v>973</v>
      </c>
      <c r="P156" t="s">
        <v>991</v>
      </c>
      <c r="Q156" t="s">
        <v>48</v>
      </c>
      <c r="R156" t="s">
        <v>50</v>
      </c>
      <c r="S156" t="s">
        <v>50</v>
      </c>
      <c r="T156" t="s">
        <v>50</v>
      </c>
      <c r="U156" t="s">
        <v>49</v>
      </c>
      <c r="V156" t="s">
        <v>49</v>
      </c>
      <c r="W156" t="s">
        <v>50</v>
      </c>
      <c r="X156" t="s">
        <v>50</v>
      </c>
      <c r="Y156" t="s">
        <v>50</v>
      </c>
      <c r="AB156">
        <v>19.940000000000001</v>
      </c>
      <c r="AD156" t="s">
        <v>49</v>
      </c>
      <c r="AF156">
        <v>208255</v>
      </c>
      <c r="AH156" t="s">
        <v>50</v>
      </c>
      <c r="AI156" t="s">
        <v>50</v>
      </c>
      <c r="AJ156" t="s">
        <v>51</v>
      </c>
      <c r="AK156" t="s">
        <v>50</v>
      </c>
      <c r="AM156" t="s">
        <v>49</v>
      </c>
      <c r="AN156" t="s">
        <v>992</v>
      </c>
    </row>
    <row r="157" spans="1:40" x14ac:dyDescent="0.2">
      <c r="A157">
        <v>422277</v>
      </c>
      <c r="B157" t="s">
        <v>993</v>
      </c>
      <c r="C157" t="str">
        <f>"9781598696356"</f>
        <v>9781598696356</v>
      </c>
      <c r="D157" t="str">
        <f>"9781605501727"</f>
        <v>9781605501727</v>
      </c>
      <c r="E157" t="s">
        <v>959</v>
      </c>
      <c r="F157" t="s">
        <v>960</v>
      </c>
      <c r="G157" s="1">
        <v>39569</v>
      </c>
      <c r="H157" s="1">
        <v>39900</v>
      </c>
      <c r="I157" t="s">
        <v>43</v>
      </c>
      <c r="J157">
        <v>2</v>
      </c>
      <c r="K157" t="s">
        <v>961</v>
      </c>
      <c r="L157" t="s">
        <v>994</v>
      </c>
      <c r="M157" t="s">
        <v>58</v>
      </c>
      <c r="N157" t="s">
        <v>995</v>
      </c>
      <c r="O157" t="s">
        <v>855</v>
      </c>
      <c r="P157" t="s">
        <v>996</v>
      </c>
      <c r="Q157" t="s">
        <v>48</v>
      </c>
      <c r="R157" t="s">
        <v>50</v>
      </c>
      <c r="S157" t="s">
        <v>50</v>
      </c>
      <c r="T157" t="s">
        <v>50</v>
      </c>
      <c r="U157" t="s">
        <v>49</v>
      </c>
      <c r="V157" t="s">
        <v>49</v>
      </c>
      <c r="W157" t="s">
        <v>50</v>
      </c>
      <c r="X157" t="s">
        <v>50</v>
      </c>
      <c r="Y157" t="s">
        <v>50</v>
      </c>
      <c r="AB157">
        <v>19.940000000000001</v>
      </c>
      <c r="AD157" t="s">
        <v>49</v>
      </c>
      <c r="AF157">
        <v>208609</v>
      </c>
      <c r="AH157" t="s">
        <v>50</v>
      </c>
      <c r="AI157" t="s">
        <v>50</v>
      </c>
      <c r="AJ157" t="s">
        <v>51</v>
      </c>
      <c r="AK157" t="s">
        <v>50</v>
      </c>
      <c r="AM157" t="s">
        <v>49</v>
      </c>
      <c r="AN157" t="s">
        <v>997</v>
      </c>
    </row>
    <row r="158" spans="1:40" x14ac:dyDescent="0.2">
      <c r="A158">
        <v>422293</v>
      </c>
      <c r="B158" t="s">
        <v>998</v>
      </c>
      <c r="C158" t="str">
        <f>"9781598692648"</f>
        <v>9781598692648</v>
      </c>
      <c r="D158" t="str">
        <f>"9781605502618"</f>
        <v>9781605502618</v>
      </c>
      <c r="E158" t="s">
        <v>959</v>
      </c>
      <c r="F158" t="s">
        <v>960</v>
      </c>
      <c r="G158" s="1">
        <v>39237</v>
      </c>
      <c r="H158" s="1">
        <v>39900</v>
      </c>
      <c r="I158" t="s">
        <v>43</v>
      </c>
      <c r="K158" t="s">
        <v>961</v>
      </c>
      <c r="L158" t="s">
        <v>999</v>
      </c>
      <c r="M158" t="s">
        <v>675</v>
      </c>
      <c r="N158" t="s">
        <v>1000</v>
      </c>
      <c r="O158" t="s">
        <v>1001</v>
      </c>
      <c r="P158" t="s">
        <v>1002</v>
      </c>
      <c r="Q158" t="s">
        <v>48</v>
      </c>
      <c r="R158" t="s">
        <v>50</v>
      </c>
      <c r="S158" t="s">
        <v>50</v>
      </c>
      <c r="T158" t="s">
        <v>50</v>
      </c>
      <c r="U158" t="s">
        <v>49</v>
      </c>
      <c r="V158" t="s">
        <v>49</v>
      </c>
      <c r="W158" t="s">
        <v>50</v>
      </c>
      <c r="X158" t="s">
        <v>50</v>
      </c>
      <c r="Y158" t="s">
        <v>50</v>
      </c>
      <c r="AB158">
        <v>60</v>
      </c>
      <c r="AD158" t="s">
        <v>49</v>
      </c>
      <c r="AF158">
        <v>208254</v>
      </c>
      <c r="AH158" t="s">
        <v>50</v>
      </c>
      <c r="AI158" t="s">
        <v>50</v>
      </c>
      <c r="AJ158" t="s">
        <v>51</v>
      </c>
      <c r="AK158" t="s">
        <v>50</v>
      </c>
      <c r="AM158" t="s">
        <v>49</v>
      </c>
      <c r="AN158" t="s">
        <v>1003</v>
      </c>
    </row>
    <row r="159" spans="1:40" x14ac:dyDescent="0.2">
      <c r="A159">
        <v>422626</v>
      </c>
      <c r="B159" t="s">
        <v>1004</v>
      </c>
      <c r="C159" t="str">
        <f>"9780192803542"</f>
        <v>9780192803542</v>
      </c>
      <c r="D159" t="str">
        <f>"9780191516719"</f>
        <v>9780191516719</v>
      </c>
      <c r="E159" t="s">
        <v>155</v>
      </c>
      <c r="F159" t="s">
        <v>893</v>
      </c>
      <c r="G159" s="1">
        <v>38463</v>
      </c>
      <c r="H159" s="1">
        <v>39901</v>
      </c>
      <c r="I159" t="s">
        <v>43</v>
      </c>
      <c r="K159" t="s">
        <v>886</v>
      </c>
      <c r="L159" t="s">
        <v>1005</v>
      </c>
      <c r="M159" t="s">
        <v>171</v>
      </c>
      <c r="N159" t="s">
        <v>1006</v>
      </c>
      <c r="O159">
        <v>709.024</v>
      </c>
      <c r="P159" t="s">
        <v>1007</v>
      </c>
      <c r="Q159" t="s">
        <v>48</v>
      </c>
      <c r="R159" t="s">
        <v>49</v>
      </c>
      <c r="S159" t="s">
        <v>50</v>
      </c>
      <c r="T159" t="s">
        <v>50</v>
      </c>
      <c r="U159" t="s">
        <v>49</v>
      </c>
      <c r="V159" t="s">
        <v>49</v>
      </c>
      <c r="W159" t="s">
        <v>50</v>
      </c>
      <c r="X159" t="s">
        <v>49</v>
      </c>
      <c r="Y159" t="s">
        <v>50</v>
      </c>
      <c r="Z159">
        <v>16.48</v>
      </c>
      <c r="AA159">
        <v>13.49</v>
      </c>
      <c r="AB159">
        <v>9.99</v>
      </c>
      <c r="AC159">
        <v>16.48</v>
      </c>
      <c r="AD159" t="s">
        <v>49</v>
      </c>
      <c r="AE159">
        <v>10271673</v>
      </c>
      <c r="AF159">
        <v>75262</v>
      </c>
      <c r="AH159" t="s">
        <v>49</v>
      </c>
      <c r="AI159" t="s">
        <v>50</v>
      </c>
      <c r="AJ159" t="s">
        <v>51</v>
      </c>
      <c r="AK159" t="s">
        <v>50</v>
      </c>
      <c r="AM159" t="s">
        <v>49</v>
      </c>
      <c r="AN159" t="s">
        <v>1008</v>
      </c>
    </row>
    <row r="160" spans="1:40" x14ac:dyDescent="0.2">
      <c r="A160">
        <v>422746</v>
      </c>
      <c r="B160" t="s">
        <v>1009</v>
      </c>
      <c r="C160" t="str">
        <f>"9780192806468"</f>
        <v>9780192806468</v>
      </c>
      <c r="D160" t="str">
        <f>"9780191517488"</f>
        <v>9780191517488</v>
      </c>
      <c r="E160" t="s">
        <v>155</v>
      </c>
      <c r="F160" t="s">
        <v>893</v>
      </c>
      <c r="G160" s="1">
        <v>38799</v>
      </c>
      <c r="H160" s="1">
        <v>39901</v>
      </c>
      <c r="I160" t="s">
        <v>43</v>
      </c>
      <c r="K160" t="s">
        <v>886</v>
      </c>
      <c r="L160" t="s">
        <v>1010</v>
      </c>
      <c r="M160" t="s">
        <v>171</v>
      </c>
      <c r="N160" t="s">
        <v>1011</v>
      </c>
      <c r="O160">
        <v>709.05</v>
      </c>
      <c r="P160" t="s">
        <v>1012</v>
      </c>
      <c r="Q160" t="s">
        <v>48</v>
      </c>
      <c r="R160" t="s">
        <v>49</v>
      </c>
      <c r="S160" t="s">
        <v>50</v>
      </c>
      <c r="T160" t="s">
        <v>50</v>
      </c>
      <c r="U160" t="s">
        <v>49</v>
      </c>
      <c r="V160" t="s">
        <v>49</v>
      </c>
      <c r="W160" t="s">
        <v>50</v>
      </c>
      <c r="X160" t="s">
        <v>49</v>
      </c>
      <c r="Y160" t="s">
        <v>50</v>
      </c>
      <c r="Z160">
        <v>16.48</v>
      </c>
      <c r="AA160">
        <v>13.49</v>
      </c>
      <c r="AB160">
        <v>9.99</v>
      </c>
      <c r="AC160">
        <v>16.48</v>
      </c>
      <c r="AD160" t="s">
        <v>49</v>
      </c>
      <c r="AE160">
        <v>10177957</v>
      </c>
      <c r="AF160">
        <v>76291</v>
      </c>
      <c r="AH160" t="s">
        <v>49</v>
      </c>
      <c r="AI160" t="s">
        <v>50</v>
      </c>
      <c r="AJ160" t="s">
        <v>51</v>
      </c>
      <c r="AK160" t="s">
        <v>50</v>
      </c>
      <c r="AM160" t="s">
        <v>49</v>
      </c>
      <c r="AN160" t="s">
        <v>1013</v>
      </c>
    </row>
    <row r="161" spans="1:40" x14ac:dyDescent="0.2">
      <c r="A161">
        <v>422790</v>
      </c>
      <c r="B161" t="s">
        <v>1014</v>
      </c>
      <c r="C161" t="str">
        <f>"9780192803283"</f>
        <v>9780192803283</v>
      </c>
      <c r="D161" t="str">
        <f>"9780191516665"</f>
        <v>9780191516665</v>
      </c>
      <c r="E161" t="s">
        <v>155</v>
      </c>
      <c r="F161" t="s">
        <v>893</v>
      </c>
      <c r="G161" s="1">
        <v>38162</v>
      </c>
      <c r="H161" s="1">
        <v>39901</v>
      </c>
      <c r="I161" t="s">
        <v>43</v>
      </c>
      <c r="K161" t="s">
        <v>886</v>
      </c>
      <c r="L161" t="s">
        <v>1015</v>
      </c>
      <c r="M161" t="s">
        <v>171</v>
      </c>
      <c r="N161" t="s">
        <v>1016</v>
      </c>
      <c r="O161" t="s">
        <v>1017</v>
      </c>
      <c r="P161" t="s">
        <v>1018</v>
      </c>
      <c r="Q161" t="s">
        <v>48</v>
      </c>
      <c r="R161" t="s">
        <v>50</v>
      </c>
      <c r="S161" t="s">
        <v>50</v>
      </c>
      <c r="T161" t="s">
        <v>50</v>
      </c>
      <c r="U161" t="s">
        <v>49</v>
      </c>
      <c r="V161" t="s">
        <v>49</v>
      </c>
      <c r="W161" t="s">
        <v>50</v>
      </c>
      <c r="X161" t="s">
        <v>49</v>
      </c>
      <c r="Y161" t="s">
        <v>50</v>
      </c>
      <c r="Z161">
        <v>16.48</v>
      </c>
      <c r="AB161">
        <v>9.99</v>
      </c>
      <c r="AD161" t="s">
        <v>49</v>
      </c>
      <c r="AE161">
        <v>10266502</v>
      </c>
      <c r="AF161">
        <v>76266</v>
      </c>
      <c r="AH161" t="s">
        <v>50</v>
      </c>
      <c r="AI161" t="s">
        <v>50</v>
      </c>
      <c r="AJ161" t="s">
        <v>51</v>
      </c>
      <c r="AK161" t="s">
        <v>50</v>
      </c>
      <c r="AM161" t="s">
        <v>49</v>
      </c>
      <c r="AN161" t="s">
        <v>1019</v>
      </c>
    </row>
    <row r="162" spans="1:40" x14ac:dyDescent="0.2">
      <c r="A162">
        <v>425576</v>
      </c>
      <c r="B162" t="s">
        <v>1020</v>
      </c>
      <c r="C162" t="str">
        <f>"9780415434157"</f>
        <v>9780415434157</v>
      </c>
      <c r="D162" t="str">
        <f>"9780203883624"</f>
        <v>9780203883624</v>
      </c>
      <c r="E162" t="s">
        <v>41</v>
      </c>
      <c r="F162" t="s">
        <v>42</v>
      </c>
      <c r="G162" s="1">
        <v>41773</v>
      </c>
      <c r="H162" s="1">
        <v>40026</v>
      </c>
      <c r="I162" t="s">
        <v>43</v>
      </c>
      <c r="J162">
        <v>2</v>
      </c>
      <c r="K162" t="s">
        <v>70</v>
      </c>
      <c r="L162" t="s">
        <v>1021</v>
      </c>
      <c r="M162" t="s">
        <v>45</v>
      </c>
      <c r="N162" t="s">
        <v>1022</v>
      </c>
      <c r="O162" t="s">
        <v>1023</v>
      </c>
      <c r="P162" t="s">
        <v>1024</v>
      </c>
      <c r="Q162" t="s">
        <v>48</v>
      </c>
      <c r="R162" t="s">
        <v>50</v>
      </c>
      <c r="S162" t="s">
        <v>50</v>
      </c>
      <c r="T162" t="s">
        <v>50</v>
      </c>
      <c r="U162" t="s">
        <v>49</v>
      </c>
      <c r="V162" t="s">
        <v>49</v>
      </c>
      <c r="W162" t="s">
        <v>50</v>
      </c>
      <c r="X162" t="s">
        <v>49</v>
      </c>
      <c r="Y162" t="s">
        <v>50</v>
      </c>
      <c r="Z162">
        <v>161.91999999999999</v>
      </c>
      <c r="AA162">
        <v>134.94</v>
      </c>
      <c r="AB162">
        <v>107.95</v>
      </c>
      <c r="AD162" t="s">
        <v>49</v>
      </c>
      <c r="AE162">
        <v>10315104</v>
      </c>
      <c r="AF162">
        <v>217005</v>
      </c>
      <c r="AH162" t="s">
        <v>50</v>
      </c>
      <c r="AI162" t="s">
        <v>50</v>
      </c>
      <c r="AJ162" t="s">
        <v>51</v>
      </c>
      <c r="AK162" t="s">
        <v>50</v>
      </c>
      <c r="AM162" t="s">
        <v>49</v>
      </c>
      <c r="AN162" t="s">
        <v>1025</v>
      </c>
    </row>
    <row r="163" spans="1:40" x14ac:dyDescent="0.2">
      <c r="A163">
        <v>427620</v>
      </c>
      <c r="B163" t="s">
        <v>1026</v>
      </c>
      <c r="C163" t="str">
        <f>"9780813806877"</f>
        <v>9780813806877</v>
      </c>
      <c r="D163" t="str">
        <f>"9780813806433"</f>
        <v>9780813806433</v>
      </c>
      <c r="E163" t="s">
        <v>54</v>
      </c>
      <c r="F163" t="s">
        <v>192</v>
      </c>
      <c r="G163" s="1">
        <v>39595</v>
      </c>
      <c r="H163" s="1">
        <v>39932</v>
      </c>
      <c r="I163" t="s">
        <v>43</v>
      </c>
      <c r="J163">
        <v>2</v>
      </c>
      <c r="L163" t="s">
        <v>1027</v>
      </c>
      <c r="M163" t="s">
        <v>45</v>
      </c>
      <c r="N163" t="s">
        <v>1028</v>
      </c>
      <c r="O163" t="s">
        <v>1029</v>
      </c>
      <c r="P163" t="s">
        <v>1030</v>
      </c>
      <c r="Q163" t="s">
        <v>48</v>
      </c>
      <c r="R163" t="s">
        <v>49</v>
      </c>
      <c r="S163" t="s">
        <v>50</v>
      </c>
      <c r="T163" t="s">
        <v>50</v>
      </c>
      <c r="U163" t="s">
        <v>49</v>
      </c>
      <c r="V163" t="s">
        <v>49</v>
      </c>
      <c r="W163" t="s">
        <v>50</v>
      </c>
      <c r="X163" t="s">
        <v>49</v>
      </c>
      <c r="Y163" t="s">
        <v>50</v>
      </c>
      <c r="Z163">
        <v>74.92</v>
      </c>
      <c r="AA163">
        <v>74.92</v>
      </c>
      <c r="AB163">
        <v>49.95</v>
      </c>
      <c r="AC163">
        <v>87.41</v>
      </c>
      <c r="AD163" t="s">
        <v>49</v>
      </c>
      <c r="AE163">
        <v>10345937</v>
      </c>
      <c r="AF163">
        <v>213837</v>
      </c>
      <c r="AH163" t="s">
        <v>50</v>
      </c>
      <c r="AI163" t="s">
        <v>50</v>
      </c>
      <c r="AJ163" t="s">
        <v>51</v>
      </c>
      <c r="AK163" t="s">
        <v>50</v>
      </c>
      <c r="AM163" t="s">
        <v>49</v>
      </c>
      <c r="AN163" t="s">
        <v>1031</v>
      </c>
    </row>
    <row r="164" spans="1:40" x14ac:dyDescent="0.2">
      <c r="A164">
        <v>427621</v>
      </c>
      <c r="B164" t="s">
        <v>1032</v>
      </c>
      <c r="C164" t="str">
        <f>"9780470286319"</f>
        <v>9780470286319</v>
      </c>
      <c r="D164" t="str">
        <f>"9780470431559"</f>
        <v>9780470431559</v>
      </c>
      <c r="E164" t="s">
        <v>54</v>
      </c>
      <c r="F164" t="s">
        <v>54</v>
      </c>
      <c r="G164" s="1">
        <v>39909</v>
      </c>
      <c r="H164" s="1">
        <v>39932</v>
      </c>
      <c r="I164" t="s">
        <v>43</v>
      </c>
      <c r="J164">
        <v>1</v>
      </c>
      <c r="L164" t="s">
        <v>1033</v>
      </c>
      <c r="M164" t="s">
        <v>571</v>
      </c>
      <c r="N164" t="s">
        <v>1034</v>
      </c>
      <c r="O164">
        <v>616.85270600000001</v>
      </c>
      <c r="P164" t="s">
        <v>1035</v>
      </c>
      <c r="Q164" t="s">
        <v>48</v>
      </c>
      <c r="R164" t="s">
        <v>49</v>
      </c>
      <c r="S164" t="s">
        <v>50</v>
      </c>
      <c r="T164" t="s">
        <v>50</v>
      </c>
      <c r="U164" t="s">
        <v>49</v>
      </c>
      <c r="V164" t="s">
        <v>49</v>
      </c>
      <c r="W164" t="s">
        <v>50</v>
      </c>
      <c r="X164" t="s">
        <v>49</v>
      </c>
      <c r="Y164" t="s">
        <v>50</v>
      </c>
      <c r="Z164">
        <v>25.42</v>
      </c>
      <c r="AA164">
        <v>25.42</v>
      </c>
      <c r="AB164">
        <v>16.95</v>
      </c>
      <c r="AC164">
        <v>29.66</v>
      </c>
      <c r="AD164" t="s">
        <v>49</v>
      </c>
      <c r="AE164">
        <v>10298065</v>
      </c>
      <c r="AF164">
        <v>211316</v>
      </c>
      <c r="AH164" t="s">
        <v>50</v>
      </c>
      <c r="AI164" t="s">
        <v>50</v>
      </c>
      <c r="AJ164" t="s">
        <v>51</v>
      </c>
      <c r="AK164" t="s">
        <v>50</v>
      </c>
      <c r="AM164" t="s">
        <v>49</v>
      </c>
      <c r="AN164" t="s">
        <v>1036</v>
      </c>
    </row>
    <row r="165" spans="1:40" x14ac:dyDescent="0.2">
      <c r="A165">
        <v>427764</v>
      </c>
      <c r="B165" t="s">
        <v>1037</v>
      </c>
      <c r="C165" t="str">
        <f>"9780470278703"</f>
        <v>9780470278703</v>
      </c>
      <c r="D165" t="str">
        <f>"9780470502181"</f>
        <v>9780470502181</v>
      </c>
      <c r="E165" t="s">
        <v>54</v>
      </c>
      <c r="F165" t="s">
        <v>54</v>
      </c>
      <c r="G165" s="1">
        <v>39895</v>
      </c>
      <c r="H165" s="1">
        <v>39932</v>
      </c>
      <c r="I165" t="s">
        <v>43</v>
      </c>
      <c r="J165">
        <v>10</v>
      </c>
      <c r="L165" t="s">
        <v>1038</v>
      </c>
      <c r="M165" t="s">
        <v>58</v>
      </c>
      <c r="N165" t="s">
        <v>1039</v>
      </c>
      <c r="O165" t="s">
        <v>855</v>
      </c>
      <c r="P165" t="s">
        <v>1040</v>
      </c>
      <c r="Q165" t="s">
        <v>48</v>
      </c>
      <c r="R165" t="s">
        <v>49</v>
      </c>
      <c r="S165" t="s">
        <v>50</v>
      </c>
      <c r="T165" t="s">
        <v>50</v>
      </c>
      <c r="U165" t="s">
        <v>49</v>
      </c>
      <c r="V165" t="s">
        <v>49</v>
      </c>
      <c r="W165" t="s">
        <v>50</v>
      </c>
      <c r="X165" t="s">
        <v>49</v>
      </c>
      <c r="Y165" t="s">
        <v>50</v>
      </c>
      <c r="Z165">
        <v>148.5</v>
      </c>
      <c r="AA165">
        <v>148.5</v>
      </c>
      <c r="AB165">
        <v>99</v>
      </c>
      <c r="AC165">
        <v>173.25</v>
      </c>
      <c r="AD165" t="s">
        <v>49</v>
      </c>
      <c r="AE165">
        <v>10297917</v>
      </c>
      <c r="AF165">
        <v>203137</v>
      </c>
      <c r="AH165" t="s">
        <v>50</v>
      </c>
      <c r="AI165" t="s">
        <v>50</v>
      </c>
      <c r="AJ165" t="s">
        <v>51</v>
      </c>
      <c r="AK165" t="s">
        <v>50</v>
      </c>
      <c r="AM165" t="s">
        <v>49</v>
      </c>
      <c r="AN165" t="s">
        <v>1041</v>
      </c>
    </row>
    <row r="166" spans="1:40" x14ac:dyDescent="0.2">
      <c r="A166">
        <v>427939</v>
      </c>
      <c r="B166" t="s">
        <v>1042</v>
      </c>
      <c r="C166" t="str">
        <f>"9780470519813"</f>
        <v>9780470519813</v>
      </c>
      <c r="D166" t="str">
        <f>"9780470741481"</f>
        <v>9780470741481</v>
      </c>
      <c r="E166" t="s">
        <v>54</v>
      </c>
      <c r="F166" t="s">
        <v>54</v>
      </c>
      <c r="G166" s="1">
        <v>39923</v>
      </c>
      <c r="H166" s="1">
        <v>39932</v>
      </c>
      <c r="I166" t="s">
        <v>43</v>
      </c>
      <c r="J166">
        <v>2</v>
      </c>
      <c r="K166" t="s">
        <v>1043</v>
      </c>
      <c r="L166" t="s">
        <v>1044</v>
      </c>
      <c r="M166" t="s">
        <v>682</v>
      </c>
      <c r="N166" t="s">
        <v>1045</v>
      </c>
      <c r="O166" t="s">
        <v>1046</v>
      </c>
      <c r="P166" t="s">
        <v>1047</v>
      </c>
      <c r="Q166" t="s">
        <v>48</v>
      </c>
      <c r="R166" t="s">
        <v>49</v>
      </c>
      <c r="S166" t="s">
        <v>50</v>
      </c>
      <c r="T166" t="s">
        <v>50</v>
      </c>
      <c r="U166" t="s">
        <v>49</v>
      </c>
      <c r="V166" t="s">
        <v>49</v>
      </c>
      <c r="W166" t="s">
        <v>50</v>
      </c>
      <c r="X166" t="s">
        <v>49</v>
      </c>
      <c r="Y166" t="s">
        <v>50</v>
      </c>
      <c r="Z166">
        <v>254.25</v>
      </c>
      <c r="AA166">
        <v>254.25</v>
      </c>
      <c r="AB166">
        <v>169.5</v>
      </c>
      <c r="AC166">
        <v>296.62</v>
      </c>
      <c r="AD166" t="s">
        <v>49</v>
      </c>
      <c r="AE166">
        <v>10298099</v>
      </c>
      <c r="AF166">
        <v>212330</v>
      </c>
      <c r="AH166" t="s">
        <v>49</v>
      </c>
      <c r="AI166" t="s">
        <v>50</v>
      </c>
      <c r="AJ166" t="s">
        <v>51</v>
      </c>
      <c r="AK166" t="s">
        <v>50</v>
      </c>
      <c r="AM166" t="s">
        <v>49</v>
      </c>
      <c r="AN166" t="s">
        <v>1048</v>
      </c>
    </row>
    <row r="167" spans="1:40" x14ac:dyDescent="0.2">
      <c r="A167">
        <v>428050</v>
      </c>
      <c r="B167" t="s">
        <v>1049</v>
      </c>
      <c r="C167" t="str">
        <f>"9780727918284"</f>
        <v>9780727918284</v>
      </c>
      <c r="D167" t="str">
        <f>"9781444312867"</f>
        <v>9781444312867</v>
      </c>
      <c r="E167" t="s">
        <v>54</v>
      </c>
      <c r="F167" t="s">
        <v>54</v>
      </c>
      <c r="G167" s="1">
        <v>38600</v>
      </c>
      <c r="H167" s="1">
        <v>40028</v>
      </c>
      <c r="I167" t="s">
        <v>43</v>
      </c>
      <c r="J167">
        <v>3</v>
      </c>
      <c r="K167" t="s">
        <v>1050</v>
      </c>
      <c r="L167" t="s">
        <v>1051</v>
      </c>
      <c r="M167" t="s">
        <v>682</v>
      </c>
      <c r="N167" t="s">
        <v>1052</v>
      </c>
      <c r="O167">
        <v>616.99449000000004</v>
      </c>
      <c r="P167" t="s">
        <v>1053</v>
      </c>
      <c r="Q167" t="s">
        <v>48</v>
      </c>
      <c r="R167" t="s">
        <v>50</v>
      </c>
      <c r="S167" t="s">
        <v>50</v>
      </c>
      <c r="T167" t="s">
        <v>50</v>
      </c>
      <c r="U167" t="s">
        <v>49</v>
      </c>
      <c r="V167" t="s">
        <v>49</v>
      </c>
      <c r="W167" t="s">
        <v>50</v>
      </c>
      <c r="X167" t="s">
        <v>49</v>
      </c>
      <c r="Y167" t="s">
        <v>50</v>
      </c>
      <c r="Z167">
        <v>89.92</v>
      </c>
      <c r="AA167">
        <v>89.92</v>
      </c>
      <c r="AB167">
        <v>59.95</v>
      </c>
      <c r="AD167" t="s">
        <v>49</v>
      </c>
      <c r="AE167">
        <v>10307778</v>
      </c>
      <c r="AF167">
        <v>211826</v>
      </c>
      <c r="AH167" t="s">
        <v>50</v>
      </c>
      <c r="AI167" t="s">
        <v>50</v>
      </c>
      <c r="AJ167" t="s">
        <v>51</v>
      </c>
      <c r="AK167" t="s">
        <v>50</v>
      </c>
      <c r="AM167" t="s">
        <v>49</v>
      </c>
      <c r="AN167" t="s">
        <v>1054</v>
      </c>
    </row>
    <row r="168" spans="1:40" x14ac:dyDescent="0.2">
      <c r="A168">
        <v>428088</v>
      </c>
      <c r="B168" t="s">
        <v>1055</v>
      </c>
      <c r="C168" t="str">
        <f>"9781405120555"</f>
        <v>9781405120555</v>
      </c>
      <c r="D168" t="str">
        <f>"9781444309553"</f>
        <v>9781444309553</v>
      </c>
      <c r="E168" t="s">
        <v>54</v>
      </c>
      <c r="F168" t="s">
        <v>192</v>
      </c>
      <c r="G168" s="1">
        <v>39762</v>
      </c>
      <c r="H168" s="1">
        <v>39932</v>
      </c>
      <c r="I168" t="s">
        <v>43</v>
      </c>
      <c r="J168">
        <v>1</v>
      </c>
      <c r="K168" t="s">
        <v>1056</v>
      </c>
      <c r="L168" t="s">
        <v>1057</v>
      </c>
      <c r="M168" t="s">
        <v>379</v>
      </c>
      <c r="N168" t="s">
        <v>1058</v>
      </c>
      <c r="O168" t="s">
        <v>1059</v>
      </c>
      <c r="P168" t="s">
        <v>1060</v>
      </c>
      <c r="Q168" t="s">
        <v>48</v>
      </c>
      <c r="R168" t="s">
        <v>49</v>
      </c>
      <c r="S168" t="s">
        <v>50</v>
      </c>
      <c r="T168" t="s">
        <v>50</v>
      </c>
      <c r="U168" t="s">
        <v>49</v>
      </c>
      <c r="V168" t="s">
        <v>49</v>
      </c>
      <c r="W168" t="s">
        <v>50</v>
      </c>
      <c r="X168" t="s">
        <v>49</v>
      </c>
      <c r="Y168" t="s">
        <v>50</v>
      </c>
      <c r="Z168">
        <v>82.5</v>
      </c>
      <c r="AA168">
        <v>82.5</v>
      </c>
      <c r="AB168">
        <v>55</v>
      </c>
      <c r="AC168">
        <v>96.25</v>
      </c>
      <c r="AD168" t="s">
        <v>49</v>
      </c>
      <c r="AE168">
        <v>10346304</v>
      </c>
      <c r="AF168">
        <v>211708</v>
      </c>
      <c r="AH168" t="s">
        <v>50</v>
      </c>
      <c r="AI168" t="s">
        <v>50</v>
      </c>
      <c r="AJ168" t="s">
        <v>51</v>
      </c>
      <c r="AK168" t="s">
        <v>50</v>
      </c>
      <c r="AM168" t="s">
        <v>49</v>
      </c>
      <c r="AN168" t="s">
        <v>1061</v>
      </c>
    </row>
    <row r="169" spans="1:40" x14ac:dyDescent="0.2">
      <c r="A169">
        <v>428128</v>
      </c>
      <c r="B169" t="s">
        <v>1062</v>
      </c>
      <c r="C169" t="str">
        <f>"9781405136563"</f>
        <v>9781405136563</v>
      </c>
      <c r="D169" t="str">
        <f>"9781444312669"</f>
        <v>9781444312669</v>
      </c>
      <c r="E169" t="s">
        <v>54</v>
      </c>
      <c r="F169" t="s">
        <v>54</v>
      </c>
      <c r="G169" s="1">
        <v>39273</v>
      </c>
      <c r="H169" s="1">
        <v>40028</v>
      </c>
      <c r="I169" t="s">
        <v>43</v>
      </c>
      <c r="J169">
        <v>5</v>
      </c>
      <c r="K169" t="s">
        <v>1050</v>
      </c>
      <c r="L169" t="s">
        <v>1063</v>
      </c>
      <c r="M169" t="s">
        <v>682</v>
      </c>
      <c r="N169" t="s">
        <v>1064</v>
      </c>
      <c r="O169">
        <v>617.51</v>
      </c>
      <c r="P169" t="s">
        <v>1065</v>
      </c>
      <c r="Q169" t="s">
        <v>48</v>
      </c>
      <c r="R169" t="s">
        <v>50</v>
      </c>
      <c r="S169" t="s">
        <v>50</v>
      </c>
      <c r="T169" t="s">
        <v>50</v>
      </c>
      <c r="U169" t="s">
        <v>49</v>
      </c>
      <c r="V169" t="s">
        <v>49</v>
      </c>
      <c r="W169" t="s">
        <v>50</v>
      </c>
      <c r="X169" t="s">
        <v>49</v>
      </c>
      <c r="Y169" t="s">
        <v>50</v>
      </c>
      <c r="Z169">
        <v>98.25</v>
      </c>
      <c r="AA169">
        <v>98.25</v>
      </c>
      <c r="AB169">
        <v>65.5</v>
      </c>
      <c r="AC169">
        <v>114.62</v>
      </c>
      <c r="AD169" t="s">
        <v>49</v>
      </c>
      <c r="AE169">
        <v>10308290</v>
      </c>
      <c r="AF169">
        <v>211816</v>
      </c>
      <c r="AH169" t="s">
        <v>50</v>
      </c>
      <c r="AI169" t="s">
        <v>50</v>
      </c>
      <c r="AJ169" t="s">
        <v>51</v>
      </c>
      <c r="AK169" t="s">
        <v>50</v>
      </c>
      <c r="AM169" t="s">
        <v>49</v>
      </c>
      <c r="AN169" t="s">
        <v>1066</v>
      </c>
    </row>
    <row r="170" spans="1:40" x14ac:dyDescent="0.2">
      <c r="A170">
        <v>428130</v>
      </c>
      <c r="B170" t="s">
        <v>1067</v>
      </c>
      <c r="C170" t="str">
        <f>"9781405136747"</f>
        <v>9781405136747</v>
      </c>
      <c r="D170" t="str">
        <f>"9781444312706"</f>
        <v>9781444312706</v>
      </c>
      <c r="E170" t="s">
        <v>54</v>
      </c>
      <c r="F170" t="s">
        <v>54</v>
      </c>
      <c r="G170" s="1">
        <v>39244</v>
      </c>
      <c r="H170" s="1">
        <v>40028</v>
      </c>
      <c r="I170" t="s">
        <v>43</v>
      </c>
      <c r="J170">
        <v>1</v>
      </c>
      <c r="K170" t="s">
        <v>1050</v>
      </c>
      <c r="L170" t="s">
        <v>1068</v>
      </c>
      <c r="M170" t="s">
        <v>1069</v>
      </c>
      <c r="N170" t="s">
        <v>1070</v>
      </c>
      <c r="O170" t="s">
        <v>1071</v>
      </c>
      <c r="P170" t="s">
        <v>1072</v>
      </c>
      <c r="Q170" t="s">
        <v>48</v>
      </c>
      <c r="R170" t="s">
        <v>50</v>
      </c>
      <c r="S170" t="s">
        <v>50</v>
      </c>
      <c r="T170" t="s">
        <v>50</v>
      </c>
      <c r="U170" t="s">
        <v>49</v>
      </c>
      <c r="V170" t="s">
        <v>49</v>
      </c>
      <c r="W170" t="s">
        <v>50</v>
      </c>
      <c r="X170" t="s">
        <v>49</v>
      </c>
      <c r="Y170" t="s">
        <v>50</v>
      </c>
      <c r="Z170">
        <v>71.62</v>
      </c>
      <c r="AA170">
        <v>71.62</v>
      </c>
      <c r="AB170">
        <v>47.75</v>
      </c>
      <c r="AC170">
        <v>83.56</v>
      </c>
      <c r="AD170" t="s">
        <v>49</v>
      </c>
      <c r="AE170">
        <v>10307958</v>
      </c>
      <c r="AF170">
        <v>211819</v>
      </c>
      <c r="AH170" t="s">
        <v>50</v>
      </c>
      <c r="AI170" t="s">
        <v>50</v>
      </c>
      <c r="AJ170" t="s">
        <v>51</v>
      </c>
      <c r="AK170" t="s">
        <v>50</v>
      </c>
      <c r="AM170" t="s">
        <v>49</v>
      </c>
      <c r="AN170" t="s">
        <v>1073</v>
      </c>
    </row>
    <row r="171" spans="1:40" x14ac:dyDescent="0.2">
      <c r="A171">
        <v>428131</v>
      </c>
      <c r="B171" t="s">
        <v>1074</v>
      </c>
      <c r="C171" t="str">
        <f>"9781405136754"</f>
        <v>9781405136754</v>
      </c>
      <c r="D171" t="str">
        <f>"9781444312652"</f>
        <v>9781444312652</v>
      </c>
      <c r="E171" t="s">
        <v>54</v>
      </c>
      <c r="F171" t="s">
        <v>54</v>
      </c>
      <c r="G171" s="1">
        <v>39245</v>
      </c>
      <c r="H171" s="1">
        <v>40028</v>
      </c>
      <c r="I171" t="s">
        <v>43</v>
      </c>
      <c r="J171">
        <v>1</v>
      </c>
      <c r="K171" t="s">
        <v>1050</v>
      </c>
      <c r="L171" t="s">
        <v>1075</v>
      </c>
      <c r="M171" t="s">
        <v>682</v>
      </c>
      <c r="N171" t="s">
        <v>1076</v>
      </c>
      <c r="O171">
        <v>616.61</v>
      </c>
      <c r="P171" t="s">
        <v>1077</v>
      </c>
      <c r="Q171" t="s">
        <v>48</v>
      </c>
      <c r="R171" t="s">
        <v>50</v>
      </c>
      <c r="S171" t="s">
        <v>50</v>
      </c>
      <c r="T171" t="s">
        <v>50</v>
      </c>
      <c r="U171" t="s">
        <v>50</v>
      </c>
      <c r="V171" t="s">
        <v>50</v>
      </c>
      <c r="W171" t="s">
        <v>50</v>
      </c>
      <c r="X171" t="s">
        <v>50</v>
      </c>
      <c r="Y171" t="s">
        <v>50</v>
      </c>
      <c r="AA171">
        <v>990</v>
      </c>
      <c r="AD171" t="s">
        <v>49</v>
      </c>
      <c r="AE171">
        <v>10308146</v>
      </c>
      <c r="AF171">
        <v>211815</v>
      </c>
      <c r="AH171" t="s">
        <v>50</v>
      </c>
      <c r="AI171" t="s">
        <v>50</v>
      </c>
      <c r="AJ171" t="s">
        <v>51</v>
      </c>
      <c r="AK171" t="s">
        <v>50</v>
      </c>
      <c r="AM171" t="s">
        <v>49</v>
      </c>
      <c r="AN171" t="s">
        <v>1078</v>
      </c>
    </row>
    <row r="172" spans="1:40" x14ac:dyDescent="0.2">
      <c r="A172">
        <v>428149</v>
      </c>
      <c r="B172" t="s">
        <v>1079</v>
      </c>
      <c r="C172" t="str">
        <f>"9781405146524"</f>
        <v>9781405146524</v>
      </c>
      <c r="D172" t="str">
        <f>"9781444312416"</f>
        <v>9781444312416</v>
      </c>
      <c r="E172" t="s">
        <v>54</v>
      </c>
      <c r="F172" t="s">
        <v>54</v>
      </c>
      <c r="G172" s="1">
        <v>39930</v>
      </c>
      <c r="H172" s="1">
        <v>40028</v>
      </c>
      <c r="I172" t="s">
        <v>43</v>
      </c>
      <c r="J172">
        <v>1</v>
      </c>
      <c r="K172" t="s">
        <v>1050</v>
      </c>
      <c r="L172" t="s">
        <v>1080</v>
      </c>
      <c r="M172" t="s">
        <v>682</v>
      </c>
      <c r="N172" t="s">
        <v>1081</v>
      </c>
      <c r="O172">
        <v>616.99419999999998</v>
      </c>
      <c r="P172" t="s">
        <v>1082</v>
      </c>
      <c r="Q172" t="s">
        <v>48</v>
      </c>
      <c r="R172" t="s">
        <v>50</v>
      </c>
      <c r="S172" t="s">
        <v>50</v>
      </c>
      <c r="T172" t="s">
        <v>50</v>
      </c>
      <c r="U172" t="s">
        <v>49</v>
      </c>
      <c r="V172" t="s">
        <v>49</v>
      </c>
      <c r="W172" t="s">
        <v>50</v>
      </c>
      <c r="X172" t="s">
        <v>49</v>
      </c>
      <c r="Y172" t="s">
        <v>50</v>
      </c>
      <c r="Z172">
        <v>74.62</v>
      </c>
      <c r="AA172">
        <v>74.62</v>
      </c>
      <c r="AB172">
        <v>49.75</v>
      </c>
      <c r="AC172">
        <v>87.06</v>
      </c>
      <c r="AD172" t="s">
        <v>49</v>
      </c>
      <c r="AE172">
        <v>10308027</v>
      </c>
      <c r="AF172">
        <v>213966</v>
      </c>
      <c r="AH172" t="s">
        <v>50</v>
      </c>
      <c r="AI172" t="s">
        <v>50</v>
      </c>
      <c r="AJ172" t="s">
        <v>51</v>
      </c>
      <c r="AK172" t="s">
        <v>50</v>
      </c>
      <c r="AM172" t="s">
        <v>49</v>
      </c>
      <c r="AN172" t="s">
        <v>1083</v>
      </c>
    </row>
    <row r="173" spans="1:40" x14ac:dyDescent="0.2">
      <c r="A173">
        <v>428189</v>
      </c>
      <c r="B173" t="s">
        <v>1084</v>
      </c>
      <c r="C173" t="str">
        <f>"9781405159975"</f>
        <v>9781405159975</v>
      </c>
      <c r="D173" t="str">
        <f>"9781444309461"</f>
        <v>9781444309461</v>
      </c>
      <c r="E173" t="s">
        <v>54</v>
      </c>
      <c r="F173" t="s">
        <v>192</v>
      </c>
      <c r="G173" s="1">
        <v>39713</v>
      </c>
      <c r="H173" s="1">
        <v>39932</v>
      </c>
      <c r="I173" t="s">
        <v>43</v>
      </c>
      <c r="J173">
        <v>1</v>
      </c>
      <c r="L173" t="s">
        <v>1085</v>
      </c>
      <c r="M173" t="s">
        <v>682</v>
      </c>
      <c r="N173" t="s">
        <v>1086</v>
      </c>
      <c r="O173" t="s">
        <v>1087</v>
      </c>
      <c r="P173" t="s">
        <v>1088</v>
      </c>
      <c r="Q173" t="s">
        <v>48</v>
      </c>
      <c r="R173" t="s">
        <v>49</v>
      </c>
      <c r="S173" t="s">
        <v>50</v>
      </c>
      <c r="T173" t="s">
        <v>50</v>
      </c>
      <c r="U173" t="s">
        <v>49</v>
      </c>
      <c r="V173" t="s">
        <v>49</v>
      </c>
      <c r="W173" t="s">
        <v>50</v>
      </c>
      <c r="X173" t="s">
        <v>49</v>
      </c>
      <c r="Y173" t="s">
        <v>50</v>
      </c>
      <c r="Z173">
        <v>149.62</v>
      </c>
      <c r="AA173">
        <v>149.62</v>
      </c>
      <c r="AB173">
        <v>99.75</v>
      </c>
      <c r="AC173">
        <v>174.56</v>
      </c>
      <c r="AD173" t="s">
        <v>49</v>
      </c>
      <c r="AE173">
        <v>10345849</v>
      </c>
      <c r="AF173">
        <v>211700</v>
      </c>
      <c r="AH173" t="s">
        <v>50</v>
      </c>
      <c r="AI173" t="s">
        <v>50</v>
      </c>
      <c r="AJ173" t="s">
        <v>51</v>
      </c>
      <c r="AK173" t="s">
        <v>50</v>
      </c>
      <c r="AM173" t="s">
        <v>49</v>
      </c>
      <c r="AN173" t="s">
        <v>1089</v>
      </c>
    </row>
    <row r="174" spans="1:40" x14ac:dyDescent="0.2">
      <c r="A174">
        <v>428198</v>
      </c>
      <c r="B174" t="s">
        <v>1090</v>
      </c>
      <c r="C174" t="str">
        <f>"9781405162197"</f>
        <v>9781405162197</v>
      </c>
      <c r="D174" t="str">
        <f>"9781444312508"</f>
        <v>9781444312508</v>
      </c>
      <c r="E174" t="s">
        <v>54</v>
      </c>
      <c r="F174" t="s">
        <v>54</v>
      </c>
      <c r="G174" s="1">
        <v>39566</v>
      </c>
      <c r="H174" s="1">
        <v>39933</v>
      </c>
      <c r="I174" t="s">
        <v>43</v>
      </c>
      <c r="J174">
        <v>1</v>
      </c>
      <c r="K174" t="s">
        <v>1050</v>
      </c>
      <c r="L174" t="s">
        <v>1091</v>
      </c>
      <c r="M174" t="s">
        <v>682</v>
      </c>
      <c r="N174" t="s">
        <v>1092</v>
      </c>
      <c r="O174" t="s">
        <v>1093</v>
      </c>
      <c r="P174" t="s">
        <v>1094</v>
      </c>
      <c r="Q174" t="s">
        <v>48</v>
      </c>
      <c r="R174" t="s">
        <v>50</v>
      </c>
      <c r="S174" t="s">
        <v>50</v>
      </c>
      <c r="T174" t="s">
        <v>50</v>
      </c>
      <c r="U174" t="s">
        <v>50</v>
      </c>
      <c r="V174" t="s">
        <v>50</v>
      </c>
      <c r="W174" t="s">
        <v>50</v>
      </c>
      <c r="X174" t="s">
        <v>50</v>
      </c>
      <c r="Y174" t="s">
        <v>50</v>
      </c>
      <c r="AA174">
        <v>990</v>
      </c>
      <c r="AD174" t="s">
        <v>49</v>
      </c>
      <c r="AE174">
        <v>10308348</v>
      </c>
      <c r="AF174">
        <v>211804</v>
      </c>
      <c r="AH174" t="s">
        <v>50</v>
      </c>
      <c r="AI174" t="s">
        <v>50</v>
      </c>
      <c r="AJ174" t="s">
        <v>51</v>
      </c>
      <c r="AK174" t="s">
        <v>50</v>
      </c>
      <c r="AM174" t="s">
        <v>49</v>
      </c>
      <c r="AN174" t="s">
        <v>1095</v>
      </c>
    </row>
    <row r="175" spans="1:40" x14ac:dyDescent="0.2">
      <c r="A175">
        <v>428255</v>
      </c>
      <c r="B175" t="s">
        <v>1096</v>
      </c>
      <c r="C175" t="str">
        <f>"9781405181198"</f>
        <v>9781405181198</v>
      </c>
      <c r="D175" t="str">
        <f>"9781444305142"</f>
        <v>9781444305142</v>
      </c>
      <c r="E175" t="s">
        <v>54</v>
      </c>
      <c r="F175" t="s">
        <v>192</v>
      </c>
      <c r="G175" s="1">
        <v>39755</v>
      </c>
      <c r="H175" s="1">
        <v>39932</v>
      </c>
      <c r="I175" t="s">
        <v>43</v>
      </c>
      <c r="J175">
        <v>2</v>
      </c>
      <c r="L175" t="s">
        <v>1097</v>
      </c>
      <c r="M175" t="s">
        <v>1098</v>
      </c>
      <c r="N175" t="s">
        <v>1099</v>
      </c>
      <c r="O175">
        <v>641.30089999999996</v>
      </c>
      <c r="P175" t="s">
        <v>1100</v>
      </c>
      <c r="Q175" t="s">
        <v>48</v>
      </c>
      <c r="R175" t="s">
        <v>49</v>
      </c>
      <c r="S175" t="s">
        <v>50</v>
      </c>
      <c r="T175" t="s">
        <v>50</v>
      </c>
      <c r="U175" t="s">
        <v>49</v>
      </c>
      <c r="V175" t="s">
        <v>49</v>
      </c>
      <c r="W175" t="s">
        <v>50</v>
      </c>
      <c r="X175" t="s">
        <v>49</v>
      </c>
      <c r="Y175" t="s">
        <v>50</v>
      </c>
      <c r="Z175">
        <v>64.42</v>
      </c>
      <c r="AA175">
        <v>64.42</v>
      </c>
      <c r="AB175">
        <v>42.95</v>
      </c>
      <c r="AC175">
        <v>75.16</v>
      </c>
      <c r="AD175" t="s">
        <v>49</v>
      </c>
      <c r="AE175">
        <v>10298000</v>
      </c>
      <c r="AF175">
        <v>211595</v>
      </c>
      <c r="AH175" t="s">
        <v>50</v>
      </c>
      <c r="AI175" t="s">
        <v>50</v>
      </c>
      <c r="AJ175" t="s">
        <v>51</v>
      </c>
      <c r="AK175" t="s">
        <v>50</v>
      </c>
      <c r="AM175" t="s">
        <v>49</v>
      </c>
      <c r="AN175" t="s">
        <v>1101</v>
      </c>
    </row>
    <row r="176" spans="1:40" x14ac:dyDescent="0.2">
      <c r="A176">
        <v>431268</v>
      </c>
      <c r="B176" t="s">
        <v>1102</v>
      </c>
      <c r="C176" t="str">
        <f>"9780195327786"</f>
        <v>9780195327786</v>
      </c>
      <c r="D176" t="str">
        <f>"9780199716623"</f>
        <v>9780199716623</v>
      </c>
      <c r="E176" t="s">
        <v>900</v>
      </c>
      <c r="F176" t="s">
        <v>900</v>
      </c>
      <c r="G176" s="1">
        <v>39910</v>
      </c>
      <c r="H176" s="1">
        <v>39939</v>
      </c>
      <c r="I176" t="s">
        <v>43</v>
      </c>
      <c r="L176" t="s">
        <v>1103</v>
      </c>
      <c r="M176" t="s">
        <v>171</v>
      </c>
      <c r="N176" t="s">
        <v>1104</v>
      </c>
      <c r="O176">
        <v>782.52200000000005</v>
      </c>
      <c r="P176" t="s">
        <v>1105</v>
      </c>
      <c r="Q176" t="s">
        <v>48</v>
      </c>
      <c r="R176" t="s">
        <v>49</v>
      </c>
      <c r="S176" t="s">
        <v>50</v>
      </c>
      <c r="T176" t="s">
        <v>50</v>
      </c>
      <c r="U176" t="s">
        <v>49</v>
      </c>
      <c r="V176" t="s">
        <v>49</v>
      </c>
      <c r="W176" t="s">
        <v>50</v>
      </c>
      <c r="X176" t="s">
        <v>49</v>
      </c>
      <c r="Y176" t="s">
        <v>50</v>
      </c>
      <c r="Z176">
        <v>287.10000000000002</v>
      </c>
      <c r="AA176">
        <v>234.9</v>
      </c>
      <c r="AB176">
        <v>174</v>
      </c>
      <c r="AC176">
        <v>287.10000000000002</v>
      </c>
      <c r="AD176" t="s">
        <v>49</v>
      </c>
      <c r="AE176">
        <v>10288319</v>
      </c>
      <c r="AF176">
        <v>205369</v>
      </c>
      <c r="AH176" t="s">
        <v>49</v>
      </c>
      <c r="AI176" t="s">
        <v>50</v>
      </c>
      <c r="AJ176" t="s">
        <v>51</v>
      </c>
      <c r="AK176" t="s">
        <v>50</v>
      </c>
      <c r="AM176" t="s">
        <v>49</v>
      </c>
      <c r="AN176" t="s">
        <v>1106</v>
      </c>
    </row>
    <row r="177" spans="1:40" x14ac:dyDescent="0.2">
      <c r="A177">
        <v>431369</v>
      </c>
      <c r="B177" t="s">
        <v>1107</v>
      </c>
      <c r="C177" t="str">
        <f>"9780195136753"</f>
        <v>9780195136753</v>
      </c>
      <c r="D177" t="str">
        <f>"9780199722730"</f>
        <v>9780199722730</v>
      </c>
      <c r="E177" t="s">
        <v>900</v>
      </c>
      <c r="F177" t="s">
        <v>900</v>
      </c>
      <c r="G177" s="1">
        <v>40690</v>
      </c>
      <c r="H177" s="1">
        <v>39939</v>
      </c>
      <c r="I177" t="s">
        <v>43</v>
      </c>
      <c r="K177" t="s">
        <v>1108</v>
      </c>
      <c r="L177" t="s">
        <v>1109</v>
      </c>
      <c r="M177" t="s">
        <v>91</v>
      </c>
      <c r="N177" t="s">
        <v>1110</v>
      </c>
      <c r="O177" t="s">
        <v>1111</v>
      </c>
      <c r="P177" t="s">
        <v>1112</v>
      </c>
      <c r="Q177" t="s">
        <v>48</v>
      </c>
      <c r="R177" t="s">
        <v>49</v>
      </c>
      <c r="S177" t="s">
        <v>50</v>
      </c>
      <c r="T177" t="s">
        <v>50</v>
      </c>
      <c r="U177" t="s">
        <v>49</v>
      </c>
      <c r="V177" t="s">
        <v>49</v>
      </c>
      <c r="W177" t="s">
        <v>50</v>
      </c>
      <c r="X177" t="s">
        <v>49</v>
      </c>
      <c r="Y177" t="s">
        <v>50</v>
      </c>
      <c r="Z177">
        <v>101.06</v>
      </c>
      <c r="AA177">
        <v>82.69</v>
      </c>
      <c r="AB177">
        <v>61.25</v>
      </c>
      <c r="AC177">
        <v>101.06</v>
      </c>
      <c r="AD177" t="s">
        <v>49</v>
      </c>
      <c r="AE177">
        <v>10288345</v>
      </c>
      <c r="AF177">
        <v>199840</v>
      </c>
      <c r="AH177" t="s">
        <v>49</v>
      </c>
      <c r="AI177" t="s">
        <v>50</v>
      </c>
      <c r="AJ177" t="s">
        <v>51</v>
      </c>
      <c r="AK177" t="s">
        <v>50</v>
      </c>
      <c r="AM177" t="s">
        <v>49</v>
      </c>
      <c r="AN177" t="s">
        <v>1113</v>
      </c>
    </row>
    <row r="178" spans="1:40" x14ac:dyDescent="0.2">
      <c r="A178">
        <v>433853</v>
      </c>
      <c r="B178" t="s">
        <v>1114</v>
      </c>
      <c r="C178" t="str">
        <f>"9780471751670"</f>
        <v>9780471751670</v>
      </c>
      <c r="D178" t="str">
        <f>"9780470534595"</f>
        <v>9780470534595</v>
      </c>
      <c r="E178" t="s">
        <v>54</v>
      </c>
      <c r="F178" t="s">
        <v>54</v>
      </c>
      <c r="G178" s="1">
        <v>39727</v>
      </c>
      <c r="H178" s="1">
        <v>39947</v>
      </c>
      <c r="I178" t="s">
        <v>43</v>
      </c>
      <c r="J178">
        <v>2</v>
      </c>
      <c r="L178" t="s">
        <v>1038</v>
      </c>
      <c r="M178" t="s">
        <v>58</v>
      </c>
      <c r="N178" t="s">
        <v>1115</v>
      </c>
      <c r="O178" t="s">
        <v>855</v>
      </c>
      <c r="P178" t="s">
        <v>1116</v>
      </c>
      <c r="Q178" t="s">
        <v>48</v>
      </c>
      <c r="R178" t="s">
        <v>50</v>
      </c>
      <c r="S178" t="s">
        <v>50</v>
      </c>
      <c r="T178" t="s">
        <v>50</v>
      </c>
      <c r="U178" t="s">
        <v>49</v>
      </c>
      <c r="V178" t="s">
        <v>49</v>
      </c>
      <c r="W178" t="s">
        <v>50</v>
      </c>
      <c r="X178" t="s">
        <v>49</v>
      </c>
      <c r="Y178" t="s">
        <v>50</v>
      </c>
      <c r="Z178">
        <v>90</v>
      </c>
      <c r="AA178">
        <v>90</v>
      </c>
      <c r="AB178">
        <v>60</v>
      </c>
      <c r="AD178" t="s">
        <v>49</v>
      </c>
      <c r="AE178">
        <v>10308069</v>
      </c>
      <c r="AF178">
        <v>212268</v>
      </c>
      <c r="AH178" t="s">
        <v>50</v>
      </c>
      <c r="AI178" t="s">
        <v>50</v>
      </c>
      <c r="AJ178" t="s">
        <v>51</v>
      </c>
      <c r="AK178" t="s">
        <v>50</v>
      </c>
      <c r="AM178" t="s">
        <v>49</v>
      </c>
      <c r="AN178" t="s">
        <v>1117</v>
      </c>
    </row>
    <row r="179" spans="1:40" x14ac:dyDescent="0.2">
      <c r="A179">
        <v>434957</v>
      </c>
      <c r="B179" t="s">
        <v>1118</v>
      </c>
      <c r="C179" t="str">
        <f>"9781581807592"</f>
        <v>9781581807592</v>
      </c>
      <c r="D179" t="str">
        <f>"9781440313172"</f>
        <v>9781440313172</v>
      </c>
      <c r="E179" t="s">
        <v>1119</v>
      </c>
      <c r="F179" t="s">
        <v>1120</v>
      </c>
      <c r="G179" s="1">
        <v>38973</v>
      </c>
      <c r="H179" s="1">
        <v>39954</v>
      </c>
      <c r="I179" t="s">
        <v>43</v>
      </c>
      <c r="L179" t="s">
        <v>1121</v>
      </c>
      <c r="M179" t="s">
        <v>1122</v>
      </c>
      <c r="N179" t="s">
        <v>1123</v>
      </c>
      <c r="O179">
        <v>929.9</v>
      </c>
      <c r="P179" t="s">
        <v>1124</v>
      </c>
      <c r="Q179" t="s">
        <v>48</v>
      </c>
      <c r="R179" t="s">
        <v>50</v>
      </c>
      <c r="S179" t="s">
        <v>50</v>
      </c>
      <c r="T179" t="s">
        <v>50</v>
      </c>
      <c r="U179" t="s">
        <v>49</v>
      </c>
      <c r="V179" t="s">
        <v>49</v>
      </c>
      <c r="W179" t="s">
        <v>50</v>
      </c>
      <c r="X179" t="s">
        <v>49</v>
      </c>
      <c r="Y179" t="s">
        <v>50</v>
      </c>
      <c r="Z179">
        <v>24.99</v>
      </c>
      <c r="AB179">
        <v>24.99</v>
      </c>
      <c r="AD179" t="s">
        <v>49</v>
      </c>
      <c r="AE179">
        <v>10313777</v>
      </c>
      <c r="AF179">
        <v>209599</v>
      </c>
      <c r="AH179" t="s">
        <v>50</v>
      </c>
      <c r="AI179" t="s">
        <v>50</v>
      </c>
      <c r="AJ179" t="s">
        <v>51</v>
      </c>
      <c r="AK179" t="s">
        <v>50</v>
      </c>
      <c r="AM179" t="s">
        <v>49</v>
      </c>
      <c r="AN179" t="s">
        <v>1125</v>
      </c>
    </row>
    <row r="180" spans="1:40" x14ac:dyDescent="0.2">
      <c r="A180">
        <v>434988</v>
      </c>
      <c r="B180" t="s">
        <v>1126</v>
      </c>
      <c r="C180" t="str">
        <f>"9780814410530"</f>
        <v>9780814410530</v>
      </c>
      <c r="D180" t="str">
        <f>"9780814410547"</f>
        <v>9780814410547</v>
      </c>
      <c r="E180" t="s">
        <v>846</v>
      </c>
      <c r="F180" t="s">
        <v>846</v>
      </c>
      <c r="G180" s="1">
        <v>39946</v>
      </c>
      <c r="H180" s="1">
        <v>39954</v>
      </c>
      <c r="I180" t="s">
        <v>43</v>
      </c>
      <c r="J180">
        <v>1</v>
      </c>
      <c r="L180" t="s">
        <v>1127</v>
      </c>
      <c r="M180" t="s">
        <v>58</v>
      </c>
      <c r="N180" t="s">
        <v>1128</v>
      </c>
      <c r="O180" t="s">
        <v>1129</v>
      </c>
      <c r="P180" t="s">
        <v>1130</v>
      </c>
      <c r="Q180" t="s">
        <v>48</v>
      </c>
      <c r="R180" t="s">
        <v>49</v>
      </c>
      <c r="S180" t="s">
        <v>50</v>
      </c>
      <c r="T180" t="s">
        <v>50</v>
      </c>
      <c r="U180" t="s">
        <v>49</v>
      </c>
      <c r="V180" t="s">
        <v>49</v>
      </c>
      <c r="W180" t="s">
        <v>50</v>
      </c>
      <c r="X180" t="s">
        <v>49</v>
      </c>
      <c r="Y180" t="s">
        <v>50</v>
      </c>
      <c r="Z180">
        <v>22.28</v>
      </c>
      <c r="AA180">
        <v>18.559999999999999</v>
      </c>
      <c r="AB180">
        <v>14.85</v>
      </c>
      <c r="AC180">
        <v>22.28</v>
      </c>
      <c r="AD180" t="s">
        <v>49</v>
      </c>
      <c r="AE180">
        <v>10294822</v>
      </c>
      <c r="AF180">
        <v>209137</v>
      </c>
      <c r="AH180" t="s">
        <v>49</v>
      </c>
      <c r="AI180" t="s">
        <v>50</v>
      </c>
      <c r="AJ180" t="s">
        <v>51</v>
      </c>
      <c r="AK180" t="s">
        <v>50</v>
      </c>
      <c r="AM180" t="s">
        <v>49</v>
      </c>
      <c r="AN180" t="s">
        <v>1131</v>
      </c>
    </row>
    <row r="181" spans="1:40" x14ac:dyDescent="0.2">
      <c r="A181">
        <v>435373</v>
      </c>
      <c r="B181" t="s">
        <v>1132</v>
      </c>
      <c r="C181" t="str">
        <f>"9781412911993"</f>
        <v>9781412911993</v>
      </c>
      <c r="D181" t="str">
        <f>"9781849204866"</f>
        <v>9781849204866</v>
      </c>
      <c r="E181" t="s">
        <v>1133</v>
      </c>
      <c r="F181" t="s">
        <v>1134</v>
      </c>
      <c r="G181" s="1">
        <v>39525</v>
      </c>
      <c r="H181" s="1">
        <v>39954</v>
      </c>
      <c r="I181" t="s">
        <v>43</v>
      </c>
      <c r="K181" t="s">
        <v>1135</v>
      </c>
      <c r="L181" t="s">
        <v>1136</v>
      </c>
      <c r="M181" t="s">
        <v>234</v>
      </c>
      <c r="N181" t="s">
        <v>1137</v>
      </c>
      <c r="O181">
        <v>364.3</v>
      </c>
      <c r="P181" t="s">
        <v>1138</v>
      </c>
      <c r="Q181" t="s">
        <v>48</v>
      </c>
      <c r="R181" t="s">
        <v>50</v>
      </c>
      <c r="S181" t="s">
        <v>50</v>
      </c>
      <c r="T181" t="s">
        <v>50</v>
      </c>
      <c r="U181" t="s">
        <v>49</v>
      </c>
      <c r="V181" t="s">
        <v>49</v>
      </c>
      <c r="W181" t="s">
        <v>50</v>
      </c>
      <c r="X181" t="s">
        <v>49</v>
      </c>
      <c r="Y181" t="s">
        <v>50</v>
      </c>
      <c r="Z181">
        <v>187.5</v>
      </c>
      <c r="AA181">
        <v>156.25</v>
      </c>
      <c r="AB181">
        <v>125</v>
      </c>
      <c r="AC181">
        <v>187.5</v>
      </c>
      <c r="AD181" t="s">
        <v>49</v>
      </c>
      <c r="AE181">
        <v>10298649</v>
      </c>
      <c r="AF181">
        <v>211913</v>
      </c>
      <c r="AH181" t="s">
        <v>50</v>
      </c>
      <c r="AI181" t="s">
        <v>50</v>
      </c>
      <c r="AJ181" t="s">
        <v>51</v>
      </c>
      <c r="AK181" t="s">
        <v>50</v>
      </c>
      <c r="AM181" t="s">
        <v>49</v>
      </c>
      <c r="AN181" t="s">
        <v>1139</v>
      </c>
    </row>
    <row r="182" spans="1:40" x14ac:dyDescent="0.2">
      <c r="A182">
        <v>435991</v>
      </c>
      <c r="B182" t="s">
        <v>1140</v>
      </c>
      <c r="C182" t="str">
        <f>"9780567010117"</f>
        <v>9780567010117</v>
      </c>
      <c r="D182" t="str">
        <f>"9780567592897"</f>
        <v>9780567592897</v>
      </c>
      <c r="E182" t="s">
        <v>1141</v>
      </c>
      <c r="F182" t="s">
        <v>1142</v>
      </c>
      <c r="G182" s="1">
        <v>41773</v>
      </c>
      <c r="H182" s="1">
        <v>39972</v>
      </c>
      <c r="I182" t="s">
        <v>43</v>
      </c>
      <c r="J182">
        <v>3</v>
      </c>
      <c r="L182" t="s">
        <v>1143</v>
      </c>
      <c r="M182" t="s">
        <v>45</v>
      </c>
      <c r="N182" t="s">
        <v>1144</v>
      </c>
      <c r="O182">
        <v>487.4</v>
      </c>
      <c r="P182" t="s">
        <v>1145</v>
      </c>
      <c r="Q182" t="s">
        <v>48</v>
      </c>
      <c r="R182" t="s">
        <v>50</v>
      </c>
      <c r="S182" t="s">
        <v>50</v>
      </c>
      <c r="T182" t="s">
        <v>50</v>
      </c>
      <c r="U182" t="s">
        <v>49</v>
      </c>
      <c r="V182" t="s">
        <v>49</v>
      </c>
      <c r="W182" t="s">
        <v>50</v>
      </c>
      <c r="X182" t="s">
        <v>49</v>
      </c>
      <c r="Y182" t="s">
        <v>50</v>
      </c>
      <c r="Z182">
        <v>340</v>
      </c>
      <c r="AA182">
        <v>255</v>
      </c>
      <c r="AB182">
        <v>170</v>
      </c>
      <c r="AC182">
        <v>340</v>
      </c>
      <c r="AD182" t="s">
        <v>49</v>
      </c>
      <c r="AE182">
        <v>10285193</v>
      </c>
      <c r="AF182">
        <v>201281</v>
      </c>
      <c r="AH182" t="s">
        <v>50</v>
      </c>
      <c r="AI182" t="s">
        <v>50</v>
      </c>
      <c r="AJ182" t="s">
        <v>51</v>
      </c>
      <c r="AK182" t="s">
        <v>50</v>
      </c>
      <c r="AM182" t="s">
        <v>49</v>
      </c>
      <c r="AN182" t="s">
        <v>1146</v>
      </c>
    </row>
    <row r="183" spans="1:40" x14ac:dyDescent="0.2">
      <c r="A183">
        <v>435992</v>
      </c>
      <c r="B183" t="s">
        <v>1147</v>
      </c>
      <c r="C183" t="str">
        <f>"9780567010124"</f>
        <v>9780567010124</v>
      </c>
      <c r="D183" t="str">
        <f>"9780567419187"</f>
        <v>9780567419187</v>
      </c>
      <c r="E183" t="s">
        <v>1141</v>
      </c>
      <c r="F183" t="s">
        <v>1142</v>
      </c>
      <c r="G183" s="1">
        <v>41773</v>
      </c>
      <c r="H183" s="1">
        <v>39972</v>
      </c>
      <c r="I183" t="s">
        <v>43</v>
      </c>
      <c r="J183">
        <v>3</v>
      </c>
      <c r="L183" t="s">
        <v>1143</v>
      </c>
      <c r="M183" t="s">
        <v>45</v>
      </c>
      <c r="N183" t="s">
        <v>1144</v>
      </c>
      <c r="O183">
        <v>487.4</v>
      </c>
      <c r="P183" t="s">
        <v>1145</v>
      </c>
      <c r="Q183" t="s">
        <v>48</v>
      </c>
      <c r="R183" t="s">
        <v>50</v>
      </c>
      <c r="S183" t="s">
        <v>50</v>
      </c>
      <c r="T183" t="s">
        <v>50</v>
      </c>
      <c r="U183" t="s">
        <v>49</v>
      </c>
      <c r="V183" t="s">
        <v>49</v>
      </c>
      <c r="W183" t="s">
        <v>50</v>
      </c>
      <c r="X183" t="s">
        <v>49</v>
      </c>
      <c r="Y183" t="s">
        <v>50</v>
      </c>
      <c r="Z183">
        <v>340</v>
      </c>
      <c r="AA183">
        <v>255</v>
      </c>
      <c r="AB183">
        <v>170</v>
      </c>
      <c r="AC183">
        <v>340</v>
      </c>
      <c r="AD183" t="s">
        <v>50</v>
      </c>
      <c r="AF183">
        <v>201282</v>
      </c>
      <c r="AH183" t="s">
        <v>50</v>
      </c>
      <c r="AI183" t="s">
        <v>50</v>
      </c>
      <c r="AJ183" t="s">
        <v>51</v>
      </c>
      <c r="AK183" t="s">
        <v>50</v>
      </c>
      <c r="AM183" t="s">
        <v>49</v>
      </c>
      <c r="AN183" t="s">
        <v>1148</v>
      </c>
    </row>
    <row r="184" spans="1:40" x14ac:dyDescent="0.2">
      <c r="A184">
        <v>435993</v>
      </c>
      <c r="B184" t="s">
        <v>1149</v>
      </c>
      <c r="C184" t="str">
        <f>"9780567010186"</f>
        <v>9780567010186</v>
      </c>
      <c r="D184" t="str">
        <f>"9780567172358"</f>
        <v>9780567172358</v>
      </c>
      <c r="E184" t="s">
        <v>1141</v>
      </c>
      <c r="F184" t="s">
        <v>1142</v>
      </c>
      <c r="G184" s="1">
        <v>41773</v>
      </c>
      <c r="H184" s="1">
        <v>39972</v>
      </c>
      <c r="I184" t="s">
        <v>43</v>
      </c>
      <c r="L184" t="s">
        <v>1150</v>
      </c>
      <c r="M184" t="s">
        <v>45</v>
      </c>
      <c r="N184" t="s">
        <v>1144</v>
      </c>
      <c r="O184">
        <v>487.4</v>
      </c>
      <c r="P184" t="s">
        <v>1145</v>
      </c>
      <c r="Q184" t="s">
        <v>48</v>
      </c>
      <c r="R184" t="s">
        <v>50</v>
      </c>
      <c r="S184" t="s">
        <v>50</v>
      </c>
      <c r="T184" t="s">
        <v>50</v>
      </c>
      <c r="U184" t="s">
        <v>49</v>
      </c>
      <c r="V184" t="s">
        <v>49</v>
      </c>
      <c r="W184" t="s">
        <v>50</v>
      </c>
      <c r="X184" t="s">
        <v>49</v>
      </c>
      <c r="Y184" t="s">
        <v>50</v>
      </c>
      <c r="Z184">
        <v>340</v>
      </c>
      <c r="AA184">
        <v>255</v>
      </c>
      <c r="AB184">
        <v>170</v>
      </c>
      <c r="AC184">
        <v>340</v>
      </c>
      <c r="AD184" t="s">
        <v>50</v>
      </c>
      <c r="AF184">
        <v>201284</v>
      </c>
      <c r="AH184" t="s">
        <v>50</v>
      </c>
      <c r="AI184" t="s">
        <v>50</v>
      </c>
      <c r="AJ184" t="s">
        <v>51</v>
      </c>
      <c r="AK184" t="s">
        <v>50</v>
      </c>
      <c r="AM184" t="s">
        <v>49</v>
      </c>
      <c r="AN184" t="s">
        <v>1151</v>
      </c>
    </row>
    <row r="185" spans="1:40" x14ac:dyDescent="0.2">
      <c r="A185">
        <v>435994</v>
      </c>
      <c r="B185" t="s">
        <v>1152</v>
      </c>
      <c r="C185" t="str">
        <f>"9780567010131"</f>
        <v>9780567010131</v>
      </c>
      <c r="D185" t="str">
        <f>"9780567099402"</f>
        <v>9780567099402</v>
      </c>
      <c r="E185" t="s">
        <v>1141</v>
      </c>
      <c r="F185" t="s">
        <v>1142</v>
      </c>
      <c r="G185" s="1">
        <v>41773</v>
      </c>
      <c r="H185" s="1">
        <v>39972</v>
      </c>
      <c r="I185" t="s">
        <v>43</v>
      </c>
      <c r="J185">
        <v>3</v>
      </c>
      <c r="L185" t="s">
        <v>1143</v>
      </c>
      <c r="M185" t="s">
        <v>45</v>
      </c>
      <c r="N185" t="s">
        <v>1144</v>
      </c>
      <c r="O185">
        <v>487.4</v>
      </c>
      <c r="P185" t="s">
        <v>1145</v>
      </c>
      <c r="Q185" t="s">
        <v>48</v>
      </c>
      <c r="R185" t="s">
        <v>50</v>
      </c>
      <c r="S185" t="s">
        <v>50</v>
      </c>
      <c r="T185" t="s">
        <v>50</v>
      </c>
      <c r="U185" t="s">
        <v>49</v>
      </c>
      <c r="V185" t="s">
        <v>49</v>
      </c>
      <c r="W185" t="s">
        <v>50</v>
      </c>
      <c r="X185" t="s">
        <v>49</v>
      </c>
      <c r="Y185" t="s">
        <v>50</v>
      </c>
      <c r="Z185">
        <v>300</v>
      </c>
      <c r="AA185">
        <v>225</v>
      </c>
      <c r="AB185">
        <v>150</v>
      </c>
      <c r="AC185">
        <v>300</v>
      </c>
      <c r="AD185" t="s">
        <v>50</v>
      </c>
      <c r="AF185">
        <v>201283</v>
      </c>
      <c r="AH185" t="s">
        <v>50</v>
      </c>
      <c r="AI185" t="s">
        <v>50</v>
      </c>
      <c r="AJ185" t="s">
        <v>51</v>
      </c>
      <c r="AK185" t="s">
        <v>50</v>
      </c>
      <c r="AM185" t="s">
        <v>49</v>
      </c>
      <c r="AN185" t="s">
        <v>1153</v>
      </c>
    </row>
    <row r="186" spans="1:40" x14ac:dyDescent="0.2">
      <c r="A186">
        <v>437703</v>
      </c>
      <c r="B186" t="s">
        <v>1154</v>
      </c>
      <c r="C186" t="str">
        <f>"9780415163804"</f>
        <v>9780415163804</v>
      </c>
      <c r="D186" t="str">
        <f>"9780203979280"</f>
        <v>9780203979280</v>
      </c>
      <c r="E186" t="s">
        <v>41</v>
      </c>
      <c r="F186" t="s">
        <v>42</v>
      </c>
      <c r="G186" s="1">
        <v>36483</v>
      </c>
      <c r="H186" s="1">
        <v>39997</v>
      </c>
      <c r="I186" t="s">
        <v>43</v>
      </c>
      <c r="J186">
        <v>1</v>
      </c>
      <c r="K186" t="s">
        <v>294</v>
      </c>
      <c r="L186" t="s">
        <v>1155</v>
      </c>
      <c r="M186" t="s">
        <v>45</v>
      </c>
      <c r="N186" t="s">
        <v>1156</v>
      </c>
      <c r="O186">
        <v>491.43982420999998</v>
      </c>
      <c r="P186" t="s">
        <v>1157</v>
      </c>
      <c r="Q186" t="s">
        <v>48</v>
      </c>
      <c r="R186" t="s">
        <v>49</v>
      </c>
      <c r="S186" t="s">
        <v>50</v>
      </c>
      <c r="T186" t="s">
        <v>50</v>
      </c>
      <c r="U186" t="s">
        <v>49</v>
      </c>
      <c r="V186" t="s">
        <v>49</v>
      </c>
      <c r="W186" t="s">
        <v>50</v>
      </c>
      <c r="X186" t="s">
        <v>49</v>
      </c>
      <c r="Y186" t="s">
        <v>50</v>
      </c>
      <c r="AA186">
        <v>237.5</v>
      </c>
      <c r="AB186">
        <v>190</v>
      </c>
      <c r="AC186">
        <v>285</v>
      </c>
      <c r="AD186" t="s">
        <v>49</v>
      </c>
      <c r="AE186">
        <v>10305720</v>
      </c>
      <c r="AF186">
        <v>25645</v>
      </c>
      <c r="AH186" t="s">
        <v>50</v>
      </c>
      <c r="AI186" t="s">
        <v>50</v>
      </c>
      <c r="AJ186" t="s">
        <v>51</v>
      </c>
      <c r="AK186" t="s">
        <v>50</v>
      </c>
      <c r="AM186" t="s">
        <v>49</v>
      </c>
      <c r="AN186" t="s">
        <v>1158</v>
      </c>
    </row>
    <row r="187" spans="1:40" x14ac:dyDescent="0.2">
      <c r="A187">
        <v>446659</v>
      </c>
      <c r="B187" t="s">
        <v>1159</v>
      </c>
      <c r="C187" t="str">
        <f>"9780415135405"</f>
        <v>9780415135405</v>
      </c>
      <c r="D187" t="str">
        <f>"9780203977309"</f>
        <v>9780203977309</v>
      </c>
      <c r="E187" t="s">
        <v>41</v>
      </c>
      <c r="F187" t="s">
        <v>42</v>
      </c>
      <c r="G187" s="1">
        <v>36746</v>
      </c>
      <c r="H187" s="1">
        <v>40037</v>
      </c>
      <c r="I187" t="s">
        <v>43</v>
      </c>
      <c r="J187">
        <v>1</v>
      </c>
      <c r="K187" t="s">
        <v>70</v>
      </c>
      <c r="L187" t="s">
        <v>1160</v>
      </c>
      <c r="M187" t="s">
        <v>45</v>
      </c>
      <c r="N187" t="s">
        <v>1161</v>
      </c>
      <c r="O187">
        <v>491.43983421000001</v>
      </c>
      <c r="P187" t="s">
        <v>1162</v>
      </c>
      <c r="Q187" t="s">
        <v>48</v>
      </c>
      <c r="R187" t="s">
        <v>50</v>
      </c>
      <c r="S187" t="s">
        <v>50</v>
      </c>
      <c r="T187" t="s">
        <v>50</v>
      </c>
      <c r="U187" t="s">
        <v>49</v>
      </c>
      <c r="V187" t="s">
        <v>49</v>
      </c>
      <c r="W187" t="s">
        <v>50</v>
      </c>
      <c r="X187" t="s">
        <v>49</v>
      </c>
      <c r="Y187" t="s">
        <v>50</v>
      </c>
      <c r="Z187">
        <v>152.91999999999999</v>
      </c>
      <c r="AA187">
        <v>127.44</v>
      </c>
      <c r="AB187">
        <v>101.95</v>
      </c>
      <c r="AD187" t="s">
        <v>49</v>
      </c>
      <c r="AE187">
        <v>10309791</v>
      </c>
      <c r="AF187">
        <v>24230</v>
      </c>
      <c r="AH187" t="s">
        <v>50</v>
      </c>
      <c r="AI187" t="s">
        <v>50</v>
      </c>
      <c r="AJ187" t="s">
        <v>51</v>
      </c>
      <c r="AK187" t="s">
        <v>50</v>
      </c>
      <c r="AM187" t="s">
        <v>49</v>
      </c>
      <c r="AN187" t="s">
        <v>1163</v>
      </c>
    </row>
    <row r="188" spans="1:40" x14ac:dyDescent="0.2">
      <c r="A188">
        <v>448560</v>
      </c>
      <c r="B188" t="s">
        <v>1164</v>
      </c>
      <c r="C188" t="str">
        <f>"9780226471914"</f>
        <v>9780226471914</v>
      </c>
      <c r="D188" t="str">
        <f>"9780226471938"</f>
        <v>9780226471938</v>
      </c>
      <c r="E188" t="s">
        <v>1165</v>
      </c>
      <c r="F188" t="s">
        <v>1165</v>
      </c>
      <c r="G188" s="1">
        <v>39264</v>
      </c>
      <c r="H188" s="1">
        <v>40041</v>
      </c>
      <c r="I188" t="s">
        <v>43</v>
      </c>
      <c r="L188" t="s">
        <v>1166</v>
      </c>
      <c r="M188" t="s">
        <v>1167</v>
      </c>
      <c r="N188" t="s">
        <v>1168</v>
      </c>
      <c r="O188" t="s">
        <v>1169</v>
      </c>
      <c r="P188" t="s">
        <v>1170</v>
      </c>
      <c r="Q188" t="s">
        <v>48</v>
      </c>
      <c r="R188" t="s">
        <v>49</v>
      </c>
      <c r="S188" t="s">
        <v>50</v>
      </c>
      <c r="T188" t="s">
        <v>50</v>
      </c>
      <c r="U188" t="s">
        <v>49</v>
      </c>
      <c r="V188" t="s">
        <v>49</v>
      </c>
      <c r="W188" t="s">
        <v>50</v>
      </c>
      <c r="X188" t="s">
        <v>49</v>
      </c>
      <c r="Y188" t="s">
        <v>49</v>
      </c>
      <c r="AA188">
        <v>142.5</v>
      </c>
      <c r="AB188">
        <v>95</v>
      </c>
      <c r="AC188">
        <v>190</v>
      </c>
      <c r="AD188" t="s">
        <v>49</v>
      </c>
      <c r="AE188">
        <v>10315994</v>
      </c>
      <c r="AF188">
        <v>223984</v>
      </c>
      <c r="AH188" t="s">
        <v>49</v>
      </c>
      <c r="AI188" t="s">
        <v>50</v>
      </c>
      <c r="AJ188" t="s">
        <v>51</v>
      </c>
      <c r="AK188" t="s">
        <v>50</v>
      </c>
      <c r="AM188" t="s">
        <v>49</v>
      </c>
      <c r="AN188" t="s">
        <v>1171</v>
      </c>
    </row>
    <row r="189" spans="1:40" x14ac:dyDescent="0.2">
      <c r="A189">
        <v>448859</v>
      </c>
      <c r="B189" t="s">
        <v>1172</v>
      </c>
      <c r="C189" t="str">
        <f>"9780470137406"</f>
        <v>9780470137406</v>
      </c>
      <c r="D189" t="str">
        <f>"9780470399255"</f>
        <v>9780470399255</v>
      </c>
      <c r="E189" t="s">
        <v>54</v>
      </c>
      <c r="F189" t="s">
        <v>54</v>
      </c>
      <c r="G189" s="1">
        <v>39609</v>
      </c>
      <c r="H189" s="1">
        <v>40044</v>
      </c>
      <c r="I189" t="s">
        <v>43</v>
      </c>
      <c r="J189">
        <v>1</v>
      </c>
      <c r="K189" t="s">
        <v>1173</v>
      </c>
      <c r="L189" t="s">
        <v>1174</v>
      </c>
      <c r="M189" t="s">
        <v>58</v>
      </c>
      <c r="N189" t="s">
        <v>1175</v>
      </c>
      <c r="O189">
        <v>658.404</v>
      </c>
      <c r="P189" t="s">
        <v>1176</v>
      </c>
      <c r="Q189" t="s">
        <v>48</v>
      </c>
      <c r="R189" t="s">
        <v>50</v>
      </c>
      <c r="S189" t="s">
        <v>50</v>
      </c>
      <c r="T189" t="s">
        <v>50</v>
      </c>
      <c r="U189" t="s">
        <v>49</v>
      </c>
      <c r="V189" t="s">
        <v>49</v>
      </c>
      <c r="W189" t="s">
        <v>50</v>
      </c>
      <c r="X189" t="s">
        <v>49</v>
      </c>
      <c r="Y189" t="s">
        <v>50</v>
      </c>
      <c r="Z189">
        <v>89.92</v>
      </c>
      <c r="AA189">
        <v>89.92</v>
      </c>
      <c r="AB189">
        <v>59.95</v>
      </c>
      <c r="AC189">
        <v>104.91</v>
      </c>
      <c r="AD189" t="s">
        <v>49</v>
      </c>
      <c r="AE189">
        <v>10310542</v>
      </c>
      <c r="AF189">
        <v>218820</v>
      </c>
      <c r="AH189" t="s">
        <v>50</v>
      </c>
      <c r="AI189" t="s">
        <v>50</v>
      </c>
      <c r="AJ189" t="s">
        <v>51</v>
      </c>
      <c r="AK189" t="s">
        <v>50</v>
      </c>
      <c r="AM189" t="s">
        <v>49</v>
      </c>
      <c r="AN189" t="s">
        <v>1177</v>
      </c>
    </row>
    <row r="190" spans="1:40" x14ac:dyDescent="0.2">
      <c r="A190">
        <v>448883</v>
      </c>
      <c r="B190" t="s">
        <v>1178</v>
      </c>
      <c r="C190" t="str">
        <f>"9780470426838"</f>
        <v>9780470426838</v>
      </c>
      <c r="D190" t="str">
        <f>"9780470571071"</f>
        <v>9780470571071</v>
      </c>
      <c r="E190" t="s">
        <v>54</v>
      </c>
      <c r="F190" t="s">
        <v>149</v>
      </c>
      <c r="G190" s="1">
        <v>40028</v>
      </c>
      <c r="H190" s="1">
        <v>40044</v>
      </c>
      <c r="I190" t="s">
        <v>43</v>
      </c>
      <c r="J190">
        <v>1</v>
      </c>
      <c r="K190" t="s">
        <v>226</v>
      </c>
      <c r="L190" t="s">
        <v>1179</v>
      </c>
      <c r="M190" t="s">
        <v>171</v>
      </c>
      <c r="N190" t="s">
        <v>1180</v>
      </c>
      <c r="O190">
        <v>741.5</v>
      </c>
      <c r="P190" t="s">
        <v>1181</v>
      </c>
      <c r="Q190" t="s">
        <v>48</v>
      </c>
      <c r="R190" t="s">
        <v>49</v>
      </c>
      <c r="S190" t="s">
        <v>50</v>
      </c>
      <c r="T190" t="s">
        <v>50</v>
      </c>
      <c r="U190" t="s">
        <v>49</v>
      </c>
      <c r="V190" t="s">
        <v>49</v>
      </c>
      <c r="W190" t="s">
        <v>50</v>
      </c>
      <c r="X190" t="s">
        <v>49</v>
      </c>
      <c r="Y190" t="s">
        <v>50</v>
      </c>
      <c r="Z190">
        <v>29.98</v>
      </c>
      <c r="AA190">
        <v>29.98</v>
      </c>
      <c r="AB190">
        <v>19.989999999999998</v>
      </c>
      <c r="AC190">
        <v>34.979999999999997</v>
      </c>
      <c r="AD190" t="s">
        <v>49</v>
      </c>
      <c r="AE190">
        <v>10315672</v>
      </c>
      <c r="AF190">
        <v>218630</v>
      </c>
      <c r="AH190" t="s">
        <v>50</v>
      </c>
      <c r="AI190" t="s">
        <v>50</v>
      </c>
      <c r="AJ190" t="s">
        <v>51</v>
      </c>
      <c r="AK190" t="s">
        <v>50</v>
      </c>
      <c r="AM190" t="s">
        <v>49</v>
      </c>
      <c r="AN190" t="s">
        <v>1182</v>
      </c>
    </row>
    <row r="191" spans="1:40" x14ac:dyDescent="0.2">
      <c r="A191">
        <v>448954</v>
      </c>
      <c r="B191" t="s">
        <v>1183</v>
      </c>
      <c r="C191" t="str">
        <f>"9780470436394"</f>
        <v>9780470436394</v>
      </c>
      <c r="D191" t="str">
        <f>"9780470437889"</f>
        <v>9780470437889</v>
      </c>
      <c r="E191" t="s">
        <v>54</v>
      </c>
      <c r="F191" t="s">
        <v>149</v>
      </c>
      <c r="G191" s="1">
        <v>39988</v>
      </c>
      <c r="H191" s="1">
        <v>40218</v>
      </c>
      <c r="I191" t="s">
        <v>43</v>
      </c>
      <c r="J191">
        <v>2</v>
      </c>
      <c r="K191" t="s">
        <v>149</v>
      </c>
      <c r="L191" t="s">
        <v>1184</v>
      </c>
      <c r="M191" t="s">
        <v>91</v>
      </c>
      <c r="N191" t="s">
        <v>1185</v>
      </c>
      <c r="O191">
        <v>973</v>
      </c>
      <c r="P191" t="s">
        <v>1186</v>
      </c>
      <c r="Q191" t="s">
        <v>48</v>
      </c>
      <c r="R191" t="s">
        <v>50</v>
      </c>
      <c r="S191" t="s">
        <v>50</v>
      </c>
      <c r="T191" t="s">
        <v>50</v>
      </c>
      <c r="U191" t="s">
        <v>49</v>
      </c>
      <c r="V191" t="s">
        <v>49</v>
      </c>
      <c r="W191" t="s">
        <v>50</v>
      </c>
      <c r="X191" t="s">
        <v>49</v>
      </c>
      <c r="Y191" t="s">
        <v>50</v>
      </c>
      <c r="Z191">
        <v>29.98</v>
      </c>
      <c r="AA191">
        <v>29.98</v>
      </c>
      <c r="AB191">
        <v>19.989999999999998</v>
      </c>
      <c r="AC191">
        <v>34.979999999999997</v>
      </c>
      <c r="AD191" t="s">
        <v>49</v>
      </c>
      <c r="AE191">
        <v>10315617</v>
      </c>
      <c r="AF191">
        <v>218601</v>
      </c>
      <c r="AH191" t="s">
        <v>50</v>
      </c>
      <c r="AI191" t="s">
        <v>50</v>
      </c>
      <c r="AJ191" t="s">
        <v>51</v>
      </c>
      <c r="AK191" t="s">
        <v>50</v>
      </c>
      <c r="AM191" t="s">
        <v>49</v>
      </c>
      <c r="AN191" t="s">
        <v>1187</v>
      </c>
    </row>
    <row r="192" spans="1:40" x14ac:dyDescent="0.2">
      <c r="A192">
        <v>449556</v>
      </c>
      <c r="B192" t="s">
        <v>1188</v>
      </c>
      <c r="C192" t="str">
        <f>"9781843922407"</f>
        <v>9781843922407</v>
      </c>
      <c r="D192" t="str">
        <f>"9781843924944"</f>
        <v>9781843924944</v>
      </c>
      <c r="E192" t="s">
        <v>1189</v>
      </c>
      <c r="F192" t="s">
        <v>1189</v>
      </c>
      <c r="G192" s="1">
        <v>39295</v>
      </c>
      <c r="H192" s="1">
        <v>40086</v>
      </c>
      <c r="I192" t="s">
        <v>43</v>
      </c>
      <c r="J192">
        <v>1</v>
      </c>
      <c r="L192" t="s">
        <v>1190</v>
      </c>
      <c r="M192" t="s">
        <v>234</v>
      </c>
      <c r="N192" t="s">
        <v>1191</v>
      </c>
      <c r="O192">
        <v>364.37400000000002</v>
      </c>
      <c r="P192" t="s">
        <v>1192</v>
      </c>
      <c r="Q192" t="s">
        <v>48</v>
      </c>
      <c r="R192" t="s">
        <v>49</v>
      </c>
      <c r="S192" t="s">
        <v>50</v>
      </c>
      <c r="T192" t="s">
        <v>50</v>
      </c>
      <c r="U192" t="s">
        <v>49</v>
      </c>
      <c r="V192" t="s">
        <v>49</v>
      </c>
      <c r="W192" t="s">
        <v>50</v>
      </c>
      <c r="X192" t="s">
        <v>49</v>
      </c>
      <c r="Y192" t="s">
        <v>50</v>
      </c>
      <c r="AA192">
        <v>225</v>
      </c>
      <c r="AB192">
        <v>180</v>
      </c>
      <c r="AC192">
        <v>270</v>
      </c>
      <c r="AD192" t="s">
        <v>49</v>
      </c>
      <c r="AE192">
        <v>10306080</v>
      </c>
      <c r="AF192">
        <v>133202</v>
      </c>
      <c r="AH192" t="s">
        <v>50</v>
      </c>
      <c r="AI192" t="s">
        <v>50</v>
      </c>
      <c r="AJ192" t="s">
        <v>51</v>
      </c>
      <c r="AK192" t="s">
        <v>50</v>
      </c>
      <c r="AM192" t="s">
        <v>49</v>
      </c>
      <c r="AN192" t="s">
        <v>1193</v>
      </c>
    </row>
    <row r="193" spans="1:40" x14ac:dyDescent="0.2">
      <c r="A193">
        <v>449582</v>
      </c>
      <c r="B193" t="s">
        <v>1194</v>
      </c>
      <c r="C193" t="str">
        <f>"9781843922056"</f>
        <v>9781843922056</v>
      </c>
      <c r="D193" t="str">
        <f>"9781843925576"</f>
        <v>9781843925576</v>
      </c>
      <c r="E193" t="s">
        <v>1189</v>
      </c>
      <c r="F193" t="s">
        <v>1189</v>
      </c>
      <c r="G193" s="1">
        <v>39479</v>
      </c>
      <c r="H193" s="1">
        <v>40084</v>
      </c>
      <c r="I193" t="s">
        <v>43</v>
      </c>
      <c r="J193">
        <v>1</v>
      </c>
      <c r="L193" t="s">
        <v>1195</v>
      </c>
      <c r="M193" t="s">
        <v>1196</v>
      </c>
      <c r="N193" t="s">
        <v>1197</v>
      </c>
      <c r="O193">
        <v>363.25</v>
      </c>
      <c r="P193" t="s">
        <v>1198</v>
      </c>
      <c r="Q193" t="s">
        <v>48</v>
      </c>
      <c r="R193" t="s">
        <v>49</v>
      </c>
      <c r="S193" t="s">
        <v>50</v>
      </c>
      <c r="T193" t="s">
        <v>50</v>
      </c>
      <c r="U193" t="s">
        <v>49</v>
      </c>
      <c r="V193" t="s">
        <v>49</v>
      </c>
      <c r="W193" t="s">
        <v>50</v>
      </c>
      <c r="X193" t="s">
        <v>49</v>
      </c>
      <c r="Y193" t="s">
        <v>50</v>
      </c>
      <c r="AA193">
        <v>225</v>
      </c>
      <c r="AB193">
        <v>180</v>
      </c>
      <c r="AC193">
        <v>270</v>
      </c>
      <c r="AD193" t="s">
        <v>49</v>
      </c>
      <c r="AE193">
        <v>10305928</v>
      </c>
      <c r="AF193">
        <v>184570</v>
      </c>
      <c r="AH193" t="s">
        <v>50</v>
      </c>
      <c r="AI193" t="s">
        <v>50</v>
      </c>
      <c r="AJ193" t="s">
        <v>51</v>
      </c>
      <c r="AK193" t="s">
        <v>50</v>
      </c>
      <c r="AM193" t="s">
        <v>49</v>
      </c>
      <c r="AN193" t="s">
        <v>1199</v>
      </c>
    </row>
    <row r="194" spans="1:40" x14ac:dyDescent="0.2">
      <c r="A194">
        <v>452141</v>
      </c>
      <c r="B194" t="s">
        <v>1200</v>
      </c>
      <c r="C194" t="str">
        <f>"9780803217607"</f>
        <v>9780803217607</v>
      </c>
      <c r="D194" t="str">
        <f>"9780803224636"</f>
        <v>9780803224636</v>
      </c>
      <c r="E194" t="s">
        <v>1201</v>
      </c>
      <c r="F194" t="s">
        <v>1202</v>
      </c>
      <c r="G194" s="1">
        <v>39904</v>
      </c>
      <c r="H194" s="1">
        <v>40086</v>
      </c>
      <c r="I194" t="s">
        <v>43</v>
      </c>
      <c r="K194" t="s">
        <v>1203</v>
      </c>
      <c r="L194" t="s">
        <v>1204</v>
      </c>
      <c r="M194" t="s">
        <v>386</v>
      </c>
      <c r="N194" t="s">
        <v>1205</v>
      </c>
      <c r="O194" t="s">
        <v>1206</v>
      </c>
      <c r="P194" t="s">
        <v>1207</v>
      </c>
      <c r="Q194" t="s">
        <v>48</v>
      </c>
      <c r="R194" t="s">
        <v>49</v>
      </c>
      <c r="S194" t="s">
        <v>50</v>
      </c>
      <c r="T194" t="s">
        <v>50</v>
      </c>
      <c r="U194" t="s">
        <v>49</v>
      </c>
      <c r="V194" t="s">
        <v>49</v>
      </c>
      <c r="W194" t="s">
        <v>50</v>
      </c>
      <c r="X194" t="s">
        <v>49</v>
      </c>
      <c r="Y194" t="s">
        <v>49</v>
      </c>
      <c r="Z194">
        <v>45</v>
      </c>
      <c r="AA194">
        <v>56.25</v>
      </c>
      <c r="AB194">
        <v>45</v>
      </c>
      <c r="AC194">
        <v>67.5</v>
      </c>
      <c r="AD194" t="s">
        <v>49</v>
      </c>
      <c r="AE194">
        <v>10312883</v>
      </c>
      <c r="AF194">
        <v>213089</v>
      </c>
      <c r="AH194" t="s">
        <v>49</v>
      </c>
      <c r="AI194" t="s">
        <v>49</v>
      </c>
      <c r="AJ194" t="s">
        <v>51</v>
      </c>
      <c r="AK194" t="s">
        <v>50</v>
      </c>
      <c r="AM194" t="s">
        <v>49</v>
      </c>
      <c r="AN194" t="s">
        <v>1208</v>
      </c>
    </row>
    <row r="195" spans="1:40" x14ac:dyDescent="0.2">
      <c r="A195">
        <v>454333</v>
      </c>
      <c r="B195" t="s">
        <v>1209</v>
      </c>
      <c r="C195" t="str">
        <f>"9780727916396"</f>
        <v>9780727916396</v>
      </c>
      <c r="D195" t="str">
        <f>"9781444316995"</f>
        <v>9781444316995</v>
      </c>
      <c r="E195" t="s">
        <v>54</v>
      </c>
      <c r="F195" t="s">
        <v>54</v>
      </c>
      <c r="G195" s="1">
        <v>39979</v>
      </c>
      <c r="H195" s="1">
        <v>40086</v>
      </c>
      <c r="I195" t="s">
        <v>43</v>
      </c>
      <c r="J195">
        <v>2</v>
      </c>
      <c r="K195" t="s">
        <v>1050</v>
      </c>
      <c r="L195" t="s">
        <v>1210</v>
      </c>
      <c r="M195" t="s">
        <v>1211</v>
      </c>
      <c r="N195" t="s">
        <v>1212</v>
      </c>
      <c r="O195">
        <v>616.89</v>
      </c>
      <c r="P195" t="s">
        <v>1213</v>
      </c>
      <c r="Q195" t="s">
        <v>48</v>
      </c>
      <c r="R195" t="s">
        <v>50</v>
      </c>
      <c r="S195" t="s">
        <v>50</v>
      </c>
      <c r="T195" t="s">
        <v>50</v>
      </c>
      <c r="U195" t="s">
        <v>50</v>
      </c>
      <c r="V195" t="s">
        <v>50</v>
      </c>
      <c r="W195" t="s">
        <v>50</v>
      </c>
      <c r="X195" t="s">
        <v>50</v>
      </c>
      <c r="Y195" t="s">
        <v>50</v>
      </c>
      <c r="AA195">
        <v>990</v>
      </c>
      <c r="AD195" t="s">
        <v>49</v>
      </c>
      <c r="AE195">
        <v>10317829</v>
      </c>
      <c r="AF195">
        <v>223739</v>
      </c>
      <c r="AH195" t="s">
        <v>50</v>
      </c>
      <c r="AI195" t="s">
        <v>50</v>
      </c>
      <c r="AJ195" t="s">
        <v>51</v>
      </c>
      <c r="AK195" t="s">
        <v>50</v>
      </c>
      <c r="AM195" t="s">
        <v>49</v>
      </c>
      <c r="AN195" t="s">
        <v>1214</v>
      </c>
    </row>
    <row r="196" spans="1:40" x14ac:dyDescent="0.2">
      <c r="A196">
        <v>457868</v>
      </c>
      <c r="B196" t="s">
        <v>1215</v>
      </c>
      <c r="C196" t="str">
        <f>"9780691146294"</f>
        <v>9780691146294</v>
      </c>
      <c r="D196" t="str">
        <f>"9781400829736"</f>
        <v>9781400829736</v>
      </c>
      <c r="E196" t="s">
        <v>1216</v>
      </c>
      <c r="F196" t="s">
        <v>1216</v>
      </c>
      <c r="G196" s="1">
        <v>39698</v>
      </c>
      <c r="H196" s="1">
        <v>40298</v>
      </c>
      <c r="I196" t="s">
        <v>43</v>
      </c>
      <c r="L196" t="s">
        <v>1217</v>
      </c>
      <c r="M196" t="s">
        <v>115</v>
      </c>
      <c r="N196" t="s">
        <v>1218</v>
      </c>
      <c r="O196">
        <v>305.800973</v>
      </c>
      <c r="P196" t="s">
        <v>1219</v>
      </c>
      <c r="Q196" t="s">
        <v>48</v>
      </c>
      <c r="R196" t="s">
        <v>49</v>
      </c>
      <c r="S196" t="s">
        <v>50</v>
      </c>
      <c r="T196" t="s">
        <v>50</v>
      </c>
      <c r="U196" t="s">
        <v>49</v>
      </c>
      <c r="V196" t="s">
        <v>49</v>
      </c>
      <c r="W196" t="s">
        <v>50</v>
      </c>
      <c r="X196" t="s">
        <v>49</v>
      </c>
      <c r="Y196" t="s">
        <v>49</v>
      </c>
      <c r="Z196">
        <v>45</v>
      </c>
      <c r="AA196">
        <v>37.5</v>
      </c>
      <c r="AB196">
        <v>30</v>
      </c>
      <c r="AC196">
        <v>45</v>
      </c>
      <c r="AD196" t="s">
        <v>49</v>
      </c>
      <c r="AE196">
        <v>10312580</v>
      </c>
      <c r="AF196">
        <v>215732</v>
      </c>
      <c r="AH196" t="s">
        <v>49</v>
      </c>
      <c r="AI196" t="s">
        <v>50</v>
      </c>
      <c r="AJ196" t="s">
        <v>51</v>
      </c>
      <c r="AK196" t="s">
        <v>50</v>
      </c>
      <c r="AM196" t="s">
        <v>49</v>
      </c>
      <c r="AN196" t="s">
        <v>1220</v>
      </c>
    </row>
    <row r="197" spans="1:40" x14ac:dyDescent="0.2">
      <c r="A197">
        <v>469505</v>
      </c>
      <c r="B197" t="s">
        <v>1221</v>
      </c>
      <c r="C197" t="str">
        <f>"9780470455586"</f>
        <v>9780470455586</v>
      </c>
      <c r="D197" t="str">
        <f>"9780470526439"</f>
        <v>9780470526439</v>
      </c>
      <c r="E197" t="s">
        <v>54</v>
      </c>
      <c r="F197" t="s">
        <v>1222</v>
      </c>
      <c r="G197" s="1">
        <v>39951</v>
      </c>
      <c r="H197" s="1">
        <v>40176</v>
      </c>
      <c r="I197" t="s">
        <v>43</v>
      </c>
      <c r="J197">
        <v>5</v>
      </c>
      <c r="L197" t="s">
        <v>1223</v>
      </c>
      <c r="M197" t="s">
        <v>58</v>
      </c>
      <c r="N197" t="s">
        <v>1224</v>
      </c>
      <c r="O197">
        <v>658.404</v>
      </c>
      <c r="P197" t="s">
        <v>1225</v>
      </c>
      <c r="Q197" t="s">
        <v>48</v>
      </c>
      <c r="R197" t="s">
        <v>50</v>
      </c>
      <c r="S197" t="s">
        <v>50</v>
      </c>
      <c r="T197" t="s">
        <v>50</v>
      </c>
      <c r="U197" t="s">
        <v>49</v>
      </c>
      <c r="V197" t="s">
        <v>49</v>
      </c>
      <c r="W197" t="s">
        <v>50</v>
      </c>
      <c r="X197" t="s">
        <v>49</v>
      </c>
      <c r="Y197" t="s">
        <v>50</v>
      </c>
      <c r="Z197">
        <v>89.98</v>
      </c>
      <c r="AA197">
        <v>89.98</v>
      </c>
      <c r="AB197">
        <v>59.99</v>
      </c>
      <c r="AC197">
        <v>104.98</v>
      </c>
      <c r="AD197" t="s">
        <v>49</v>
      </c>
      <c r="AE197">
        <v>10308392</v>
      </c>
      <c r="AF197">
        <v>212257</v>
      </c>
      <c r="AH197" t="s">
        <v>50</v>
      </c>
      <c r="AI197" t="s">
        <v>50</v>
      </c>
      <c r="AJ197" t="s">
        <v>51</v>
      </c>
      <c r="AK197" t="s">
        <v>50</v>
      </c>
      <c r="AM197" t="s">
        <v>49</v>
      </c>
      <c r="AN197" t="s">
        <v>1226</v>
      </c>
    </row>
    <row r="198" spans="1:40" x14ac:dyDescent="0.2">
      <c r="A198">
        <v>470107</v>
      </c>
      <c r="B198" t="s">
        <v>1227</v>
      </c>
      <c r="C198" t="str">
        <f>"9781861562302"</f>
        <v>9781861562302</v>
      </c>
      <c r="D198" t="str">
        <f>"9780470777985"</f>
        <v>9780470777985</v>
      </c>
      <c r="E198" t="s">
        <v>54</v>
      </c>
      <c r="F198" t="s">
        <v>54</v>
      </c>
      <c r="G198" s="1">
        <v>37246</v>
      </c>
      <c r="H198" s="1">
        <v>42131</v>
      </c>
      <c r="I198" t="s">
        <v>43</v>
      </c>
      <c r="J198">
        <v>1</v>
      </c>
      <c r="L198" t="s">
        <v>1228</v>
      </c>
      <c r="M198" t="s">
        <v>1229</v>
      </c>
      <c r="N198" t="s">
        <v>1230</v>
      </c>
      <c r="O198" t="s">
        <v>1231</v>
      </c>
      <c r="P198" t="s">
        <v>1232</v>
      </c>
      <c r="Q198" t="s">
        <v>48</v>
      </c>
      <c r="R198" t="s">
        <v>49</v>
      </c>
      <c r="S198" t="s">
        <v>50</v>
      </c>
      <c r="T198" t="s">
        <v>50</v>
      </c>
      <c r="U198" t="s">
        <v>49</v>
      </c>
      <c r="V198" t="s">
        <v>49</v>
      </c>
      <c r="W198" t="s">
        <v>50</v>
      </c>
      <c r="X198" t="s">
        <v>49</v>
      </c>
      <c r="Y198" t="s">
        <v>50</v>
      </c>
      <c r="Z198">
        <v>210.38</v>
      </c>
      <c r="AA198">
        <v>210.38</v>
      </c>
      <c r="AB198">
        <v>140.25</v>
      </c>
      <c r="AC198">
        <v>245.44</v>
      </c>
      <c r="AD198" t="s">
        <v>49</v>
      </c>
      <c r="AE198">
        <v>10301097</v>
      </c>
      <c r="AF198">
        <v>213832</v>
      </c>
      <c r="AH198" t="s">
        <v>49</v>
      </c>
      <c r="AI198" t="s">
        <v>50</v>
      </c>
      <c r="AJ198" t="s">
        <v>51</v>
      </c>
      <c r="AK198" t="s">
        <v>50</v>
      </c>
      <c r="AM198" t="s">
        <v>49</v>
      </c>
      <c r="AN198" t="s">
        <v>1233</v>
      </c>
    </row>
    <row r="199" spans="1:40" x14ac:dyDescent="0.2">
      <c r="A199">
        <v>471063</v>
      </c>
      <c r="B199" t="s">
        <v>1234</v>
      </c>
      <c r="C199" t="str">
        <f>"9780974309101"</f>
        <v>9780974309101</v>
      </c>
      <c r="D199" t="str">
        <f>"9780974309170"</f>
        <v>9780974309170</v>
      </c>
      <c r="E199" t="s">
        <v>1235</v>
      </c>
      <c r="F199" t="s">
        <v>1236</v>
      </c>
      <c r="G199" s="1">
        <v>38352</v>
      </c>
      <c r="H199" s="1">
        <v>40668</v>
      </c>
      <c r="I199" t="s">
        <v>43</v>
      </c>
      <c r="J199">
        <v>1</v>
      </c>
      <c r="L199" t="s">
        <v>1237</v>
      </c>
      <c r="M199" t="s">
        <v>220</v>
      </c>
      <c r="N199" t="s">
        <v>1238</v>
      </c>
      <c r="O199">
        <v>903</v>
      </c>
      <c r="P199" t="s">
        <v>1239</v>
      </c>
      <c r="Q199" t="s">
        <v>48</v>
      </c>
      <c r="R199" t="s">
        <v>50</v>
      </c>
      <c r="S199" t="s">
        <v>50</v>
      </c>
      <c r="T199" t="s">
        <v>50</v>
      </c>
      <c r="U199" t="s">
        <v>50</v>
      </c>
      <c r="V199" t="s">
        <v>49</v>
      </c>
      <c r="W199" t="s">
        <v>50</v>
      </c>
      <c r="X199" t="s">
        <v>50</v>
      </c>
      <c r="Y199" t="s">
        <v>50</v>
      </c>
      <c r="Z199">
        <v>0</v>
      </c>
      <c r="AA199">
        <v>0</v>
      </c>
      <c r="AB199">
        <v>0</v>
      </c>
      <c r="AC199">
        <v>0</v>
      </c>
      <c r="AD199" t="s">
        <v>50</v>
      </c>
      <c r="AF199">
        <v>177635</v>
      </c>
      <c r="AH199" t="s">
        <v>50</v>
      </c>
      <c r="AI199" t="s">
        <v>50</v>
      </c>
      <c r="AJ199" t="s">
        <v>51</v>
      </c>
      <c r="AK199" t="s">
        <v>50</v>
      </c>
      <c r="AM199" t="s">
        <v>49</v>
      </c>
      <c r="AN199" t="s">
        <v>1240</v>
      </c>
    </row>
    <row r="200" spans="1:40" x14ac:dyDescent="0.2">
      <c r="A200">
        <v>472666</v>
      </c>
      <c r="B200" t="s">
        <v>1241</v>
      </c>
      <c r="C200" t="str">
        <f>"9780815789840"</f>
        <v>9780815789840</v>
      </c>
      <c r="D200" t="str">
        <f>"9780815701811"</f>
        <v>9780815701811</v>
      </c>
      <c r="E200" t="s">
        <v>1242</v>
      </c>
      <c r="F200" t="s">
        <v>1242</v>
      </c>
      <c r="G200" s="1">
        <v>39750</v>
      </c>
      <c r="H200" s="1">
        <v>40218</v>
      </c>
      <c r="I200" t="s">
        <v>43</v>
      </c>
      <c r="L200" t="s">
        <v>1243</v>
      </c>
      <c r="M200" t="s">
        <v>1244</v>
      </c>
      <c r="N200" t="s">
        <v>1245</v>
      </c>
      <c r="O200">
        <v>909.83</v>
      </c>
      <c r="P200" t="s">
        <v>1246</v>
      </c>
      <c r="Q200" t="s">
        <v>48</v>
      </c>
      <c r="R200" t="s">
        <v>49</v>
      </c>
      <c r="S200" t="s">
        <v>50</v>
      </c>
      <c r="T200" t="s">
        <v>50</v>
      </c>
      <c r="U200" t="s">
        <v>49</v>
      </c>
      <c r="V200" t="s">
        <v>49</v>
      </c>
      <c r="W200" t="s">
        <v>50</v>
      </c>
      <c r="X200" t="s">
        <v>49</v>
      </c>
      <c r="Y200" t="s">
        <v>50</v>
      </c>
      <c r="Z200">
        <v>22.79</v>
      </c>
      <c r="AA200">
        <v>28.48</v>
      </c>
      <c r="AB200">
        <v>18.989999999999998</v>
      </c>
      <c r="AC200">
        <v>37.979999999999997</v>
      </c>
      <c r="AD200" t="s">
        <v>49</v>
      </c>
      <c r="AE200">
        <v>10338450</v>
      </c>
      <c r="AF200">
        <v>213124</v>
      </c>
      <c r="AH200" t="s">
        <v>49</v>
      </c>
      <c r="AI200" t="s">
        <v>50</v>
      </c>
      <c r="AJ200" t="s">
        <v>51</v>
      </c>
      <c r="AK200" t="s">
        <v>50</v>
      </c>
      <c r="AM200" t="s">
        <v>49</v>
      </c>
      <c r="AN200" t="s">
        <v>1247</v>
      </c>
    </row>
    <row r="201" spans="1:40" x14ac:dyDescent="0.2">
      <c r="A201">
        <v>494778</v>
      </c>
      <c r="B201" t="s">
        <v>1248</v>
      </c>
      <c r="C201" t="str">
        <f>"9780313320194"</f>
        <v>9780313320194</v>
      </c>
      <c r="D201" t="str">
        <f>"9780313052774"</f>
        <v>9780313052774</v>
      </c>
      <c r="E201" t="s">
        <v>232</v>
      </c>
      <c r="F201" t="s">
        <v>492</v>
      </c>
      <c r="G201" s="1">
        <v>38045</v>
      </c>
      <c r="H201" s="1">
        <v>40268</v>
      </c>
      <c r="I201" t="s">
        <v>43</v>
      </c>
      <c r="K201" t="s">
        <v>1249</v>
      </c>
      <c r="L201" t="s">
        <v>1250</v>
      </c>
      <c r="M201" t="s">
        <v>386</v>
      </c>
      <c r="N201" t="s">
        <v>1251</v>
      </c>
      <c r="O201" t="s">
        <v>1252</v>
      </c>
      <c r="P201" t="s">
        <v>1253</v>
      </c>
      <c r="Q201" t="s">
        <v>48</v>
      </c>
      <c r="R201" t="s">
        <v>49</v>
      </c>
      <c r="S201" t="s">
        <v>50</v>
      </c>
      <c r="T201" t="s">
        <v>50</v>
      </c>
      <c r="U201" t="s">
        <v>49</v>
      </c>
      <c r="V201" t="s">
        <v>49</v>
      </c>
      <c r="W201" t="s">
        <v>50</v>
      </c>
      <c r="X201" t="s">
        <v>49</v>
      </c>
      <c r="Y201" t="s">
        <v>50</v>
      </c>
      <c r="Z201">
        <v>126</v>
      </c>
      <c r="AA201">
        <v>108</v>
      </c>
      <c r="AB201">
        <v>72</v>
      </c>
      <c r="AC201">
        <v>144</v>
      </c>
      <c r="AD201" t="s">
        <v>49</v>
      </c>
      <c r="AE201">
        <v>10346940</v>
      </c>
      <c r="AF201">
        <v>92653</v>
      </c>
      <c r="AH201" t="s">
        <v>50</v>
      </c>
      <c r="AI201" t="s">
        <v>50</v>
      </c>
      <c r="AJ201" t="s">
        <v>51</v>
      </c>
      <c r="AK201" t="s">
        <v>50</v>
      </c>
      <c r="AM201" t="s">
        <v>49</v>
      </c>
      <c r="AN201" t="s">
        <v>1254</v>
      </c>
    </row>
    <row r="202" spans="1:40" x14ac:dyDescent="0.2">
      <c r="A202">
        <v>497011</v>
      </c>
      <c r="B202" t="s">
        <v>1255</v>
      </c>
      <c r="C202" t="str">
        <f>"9780313320941"</f>
        <v>9780313320941</v>
      </c>
      <c r="D202" t="str">
        <f>"9780313017063"</f>
        <v>9780313017063</v>
      </c>
      <c r="E202" t="s">
        <v>232</v>
      </c>
      <c r="F202" t="s">
        <v>492</v>
      </c>
      <c r="G202" s="1">
        <v>37985</v>
      </c>
      <c r="H202" s="1">
        <v>40268</v>
      </c>
      <c r="I202" t="s">
        <v>43</v>
      </c>
      <c r="K202" t="s">
        <v>1256</v>
      </c>
      <c r="L202" t="s">
        <v>1257</v>
      </c>
      <c r="M202" t="s">
        <v>91</v>
      </c>
      <c r="N202" t="s">
        <v>1258</v>
      </c>
      <c r="O202" t="s">
        <v>1259</v>
      </c>
      <c r="P202" t="s">
        <v>1260</v>
      </c>
      <c r="Q202" t="s">
        <v>48</v>
      </c>
      <c r="R202" t="s">
        <v>49</v>
      </c>
      <c r="S202" t="s">
        <v>50</v>
      </c>
      <c r="T202" t="s">
        <v>50</v>
      </c>
      <c r="U202" t="s">
        <v>49</v>
      </c>
      <c r="V202" t="s">
        <v>49</v>
      </c>
      <c r="W202" t="s">
        <v>50</v>
      </c>
      <c r="X202" t="s">
        <v>49</v>
      </c>
      <c r="Y202" t="s">
        <v>50</v>
      </c>
      <c r="Z202">
        <v>148.75</v>
      </c>
      <c r="AA202">
        <v>127.5</v>
      </c>
      <c r="AB202">
        <v>85</v>
      </c>
      <c r="AC202">
        <v>170</v>
      </c>
      <c r="AD202" t="s">
        <v>49</v>
      </c>
      <c r="AE202">
        <v>10362855</v>
      </c>
      <c r="AF202">
        <v>90880</v>
      </c>
      <c r="AH202" t="s">
        <v>49</v>
      </c>
      <c r="AI202" t="s">
        <v>50</v>
      </c>
      <c r="AJ202" t="s">
        <v>51</v>
      </c>
      <c r="AK202" t="s">
        <v>50</v>
      </c>
      <c r="AM202" t="s">
        <v>49</v>
      </c>
      <c r="AN202" t="s">
        <v>1261</v>
      </c>
    </row>
    <row r="203" spans="1:40" x14ac:dyDescent="0.2">
      <c r="A203">
        <v>497160</v>
      </c>
      <c r="B203" t="s">
        <v>1262</v>
      </c>
      <c r="C203" t="str">
        <f>"9780313320835"</f>
        <v>9780313320835</v>
      </c>
      <c r="D203" t="str">
        <f>"9780313017056"</f>
        <v>9780313017056</v>
      </c>
      <c r="E203" t="s">
        <v>232</v>
      </c>
      <c r="F203" t="s">
        <v>492</v>
      </c>
      <c r="G203" s="1">
        <v>37985</v>
      </c>
      <c r="H203" s="1">
        <v>40268</v>
      </c>
      <c r="I203" t="s">
        <v>43</v>
      </c>
      <c r="K203" t="s">
        <v>1256</v>
      </c>
      <c r="L203" t="s">
        <v>1263</v>
      </c>
      <c r="M203" t="s">
        <v>91</v>
      </c>
      <c r="N203" t="s">
        <v>1264</v>
      </c>
      <c r="O203">
        <v>973.3</v>
      </c>
      <c r="P203" t="s">
        <v>1265</v>
      </c>
      <c r="Q203" t="s">
        <v>48</v>
      </c>
      <c r="R203" t="s">
        <v>49</v>
      </c>
      <c r="S203" t="s">
        <v>50</v>
      </c>
      <c r="T203" t="s">
        <v>50</v>
      </c>
      <c r="U203" t="s">
        <v>49</v>
      </c>
      <c r="V203" t="s">
        <v>49</v>
      </c>
      <c r="W203" t="s">
        <v>50</v>
      </c>
      <c r="X203" t="s">
        <v>49</v>
      </c>
      <c r="Y203" t="s">
        <v>50</v>
      </c>
      <c r="Z203">
        <v>148.75</v>
      </c>
      <c r="AA203">
        <v>127.5</v>
      </c>
      <c r="AB203">
        <v>85</v>
      </c>
      <c r="AC203">
        <v>170</v>
      </c>
      <c r="AD203" t="s">
        <v>49</v>
      </c>
      <c r="AE203">
        <v>10362834</v>
      </c>
      <c r="AF203">
        <v>90879</v>
      </c>
      <c r="AH203" t="s">
        <v>49</v>
      </c>
      <c r="AI203" t="s">
        <v>50</v>
      </c>
      <c r="AJ203" t="s">
        <v>51</v>
      </c>
      <c r="AK203" t="s">
        <v>50</v>
      </c>
      <c r="AM203" t="s">
        <v>49</v>
      </c>
      <c r="AN203" t="s">
        <v>1266</v>
      </c>
    </row>
    <row r="204" spans="1:40" x14ac:dyDescent="0.2">
      <c r="A204">
        <v>547177</v>
      </c>
      <c r="B204" t="s">
        <v>1267</v>
      </c>
      <c r="C204" t="str">
        <f>"9781405181051"</f>
        <v>9781405181051</v>
      </c>
      <c r="D204" t="str">
        <f>"9781444316865"</f>
        <v>9781444316865</v>
      </c>
      <c r="E204" t="s">
        <v>54</v>
      </c>
      <c r="F204" t="s">
        <v>54</v>
      </c>
      <c r="G204" s="1">
        <v>40133</v>
      </c>
      <c r="H204" s="1">
        <v>40366</v>
      </c>
      <c r="I204" t="s">
        <v>43</v>
      </c>
      <c r="J204">
        <v>5</v>
      </c>
      <c r="K204" t="s">
        <v>1050</v>
      </c>
      <c r="L204" t="s">
        <v>1268</v>
      </c>
      <c r="M204" t="s">
        <v>682</v>
      </c>
      <c r="N204" t="s">
        <v>1269</v>
      </c>
      <c r="O204">
        <v>618</v>
      </c>
      <c r="P204" t="s">
        <v>1270</v>
      </c>
      <c r="Q204" t="s">
        <v>48</v>
      </c>
      <c r="R204" t="s">
        <v>50</v>
      </c>
      <c r="S204" t="s">
        <v>50</v>
      </c>
      <c r="T204" t="s">
        <v>50</v>
      </c>
      <c r="U204" t="s">
        <v>49</v>
      </c>
      <c r="V204" t="s">
        <v>49</v>
      </c>
      <c r="W204" t="s">
        <v>50</v>
      </c>
      <c r="X204" t="s">
        <v>49</v>
      </c>
      <c r="Y204" t="s">
        <v>50</v>
      </c>
      <c r="Z204">
        <v>91.88</v>
      </c>
      <c r="AA204">
        <v>91.88</v>
      </c>
      <c r="AB204">
        <v>61.25</v>
      </c>
      <c r="AC204">
        <v>107.19</v>
      </c>
      <c r="AD204" t="s">
        <v>49</v>
      </c>
      <c r="AE204">
        <v>10342962</v>
      </c>
      <c r="AF204">
        <v>230636</v>
      </c>
      <c r="AH204" t="s">
        <v>50</v>
      </c>
      <c r="AI204" t="s">
        <v>50</v>
      </c>
      <c r="AJ204" t="s">
        <v>51</v>
      </c>
      <c r="AK204" t="s">
        <v>50</v>
      </c>
      <c r="AM204" t="s">
        <v>49</v>
      </c>
      <c r="AN204" t="s">
        <v>1271</v>
      </c>
    </row>
    <row r="205" spans="1:40" x14ac:dyDescent="0.2">
      <c r="A205">
        <v>570467</v>
      </c>
      <c r="B205" t="s">
        <v>1272</v>
      </c>
      <c r="C205" t="str">
        <f>"9781420065510"</f>
        <v>9781420065510</v>
      </c>
      <c r="D205" t="str">
        <f>"9781420065527"</f>
        <v>9781420065527</v>
      </c>
      <c r="E205" t="s">
        <v>41</v>
      </c>
      <c r="F205" t="s">
        <v>1273</v>
      </c>
      <c r="G205" s="1">
        <v>39990</v>
      </c>
      <c r="H205" s="1">
        <v>40409</v>
      </c>
      <c r="I205" t="s">
        <v>43</v>
      </c>
      <c r="J205">
        <v>1</v>
      </c>
      <c r="K205" t="s">
        <v>1274</v>
      </c>
      <c r="L205" t="s">
        <v>1275</v>
      </c>
      <c r="M205" t="s">
        <v>234</v>
      </c>
      <c r="N205" t="s">
        <v>1276</v>
      </c>
      <c r="O205">
        <v>363.25200000000001</v>
      </c>
      <c r="P205" t="s">
        <v>1277</v>
      </c>
      <c r="Q205" t="s">
        <v>48</v>
      </c>
      <c r="R205" t="s">
        <v>49</v>
      </c>
      <c r="S205" t="s">
        <v>50</v>
      </c>
      <c r="T205" t="s">
        <v>50</v>
      </c>
      <c r="U205" t="s">
        <v>49</v>
      </c>
      <c r="V205" t="s">
        <v>49</v>
      </c>
      <c r="W205" t="s">
        <v>50</v>
      </c>
      <c r="X205" t="s">
        <v>49</v>
      </c>
      <c r="Y205" t="s">
        <v>50</v>
      </c>
      <c r="AA205">
        <v>193.75</v>
      </c>
      <c r="AB205">
        <v>155</v>
      </c>
      <c r="AC205">
        <v>232.5</v>
      </c>
      <c r="AD205" t="s">
        <v>49</v>
      </c>
      <c r="AE205">
        <v>10308634</v>
      </c>
      <c r="AF205">
        <v>210925</v>
      </c>
      <c r="AH205" t="s">
        <v>50</v>
      </c>
      <c r="AI205" t="s">
        <v>50</v>
      </c>
      <c r="AJ205" t="s">
        <v>51</v>
      </c>
      <c r="AK205" t="s">
        <v>50</v>
      </c>
      <c r="AM205" t="s">
        <v>49</v>
      </c>
      <c r="AN205" t="s">
        <v>1278</v>
      </c>
    </row>
    <row r="206" spans="1:40" x14ac:dyDescent="0.2">
      <c r="A206">
        <v>622618</v>
      </c>
      <c r="B206" t="s">
        <v>1279</v>
      </c>
      <c r="C206" t="str">
        <f>"9789027226280"</f>
        <v>9789027226280</v>
      </c>
      <c r="D206" t="str">
        <f>"9789027293909"</f>
        <v>9789027293909</v>
      </c>
      <c r="E206" t="s">
        <v>1280</v>
      </c>
      <c r="F206" t="s">
        <v>1280</v>
      </c>
      <c r="G206" s="1">
        <v>38707</v>
      </c>
      <c r="H206" s="1">
        <v>40604</v>
      </c>
      <c r="I206" t="s">
        <v>43</v>
      </c>
      <c r="L206" t="s">
        <v>1281</v>
      </c>
      <c r="M206" t="s">
        <v>45</v>
      </c>
      <c r="N206" t="s">
        <v>1282</v>
      </c>
      <c r="O206" t="s">
        <v>1283</v>
      </c>
      <c r="P206" t="s">
        <v>1284</v>
      </c>
      <c r="Q206" t="s">
        <v>48</v>
      </c>
      <c r="R206" t="s">
        <v>49</v>
      </c>
      <c r="S206" t="s">
        <v>50</v>
      </c>
      <c r="T206" t="s">
        <v>50</v>
      </c>
      <c r="U206" t="s">
        <v>49</v>
      </c>
      <c r="V206" t="s">
        <v>49</v>
      </c>
      <c r="W206" t="s">
        <v>50</v>
      </c>
      <c r="X206" t="s">
        <v>49</v>
      </c>
      <c r="Y206" t="s">
        <v>49</v>
      </c>
      <c r="Z206">
        <v>235</v>
      </c>
      <c r="AA206">
        <v>235</v>
      </c>
      <c r="AB206">
        <v>188</v>
      </c>
      <c r="AC206">
        <v>282</v>
      </c>
      <c r="AD206" t="s">
        <v>49</v>
      </c>
      <c r="AE206">
        <v>10103910</v>
      </c>
      <c r="AF206">
        <v>215619</v>
      </c>
      <c r="AH206" t="s">
        <v>49</v>
      </c>
      <c r="AI206" t="s">
        <v>50</v>
      </c>
      <c r="AJ206" t="s">
        <v>51</v>
      </c>
      <c r="AK206" t="s">
        <v>50</v>
      </c>
      <c r="AM206" t="s">
        <v>49</v>
      </c>
      <c r="AN206" t="s">
        <v>1285</v>
      </c>
    </row>
    <row r="207" spans="1:40" x14ac:dyDescent="0.2">
      <c r="A207">
        <v>622644</v>
      </c>
      <c r="B207" t="s">
        <v>1286</v>
      </c>
      <c r="C207" t="str">
        <f>"9789027238122"</f>
        <v>9789027238122</v>
      </c>
      <c r="D207" t="str">
        <f>"9789027293145"</f>
        <v>9789027293145</v>
      </c>
      <c r="E207" t="s">
        <v>1280</v>
      </c>
      <c r="F207" t="s">
        <v>1280</v>
      </c>
      <c r="G207" s="1">
        <v>39021</v>
      </c>
      <c r="H207" s="1">
        <v>40604</v>
      </c>
      <c r="I207" t="s">
        <v>43</v>
      </c>
      <c r="L207" t="s">
        <v>1287</v>
      </c>
      <c r="M207" t="s">
        <v>45</v>
      </c>
      <c r="N207" t="s">
        <v>1288</v>
      </c>
      <c r="O207" t="s">
        <v>1289</v>
      </c>
      <c r="P207" t="s">
        <v>1290</v>
      </c>
      <c r="Q207" t="s">
        <v>48</v>
      </c>
      <c r="R207" t="s">
        <v>49</v>
      </c>
      <c r="S207" t="s">
        <v>50</v>
      </c>
      <c r="T207" t="s">
        <v>50</v>
      </c>
      <c r="U207" t="s">
        <v>49</v>
      </c>
      <c r="V207" t="s">
        <v>49</v>
      </c>
      <c r="W207" t="s">
        <v>50</v>
      </c>
      <c r="X207" t="s">
        <v>49</v>
      </c>
      <c r="Y207" t="s">
        <v>49</v>
      </c>
      <c r="Z207">
        <v>235</v>
      </c>
      <c r="AA207">
        <v>235</v>
      </c>
      <c r="AB207">
        <v>188</v>
      </c>
      <c r="AC207">
        <v>282</v>
      </c>
      <c r="AD207" t="s">
        <v>49</v>
      </c>
      <c r="AE207">
        <v>10146761</v>
      </c>
      <c r="AF207">
        <v>215526</v>
      </c>
      <c r="AH207" t="s">
        <v>49</v>
      </c>
      <c r="AI207" t="s">
        <v>50</v>
      </c>
      <c r="AJ207" t="s">
        <v>51</v>
      </c>
      <c r="AK207" t="s">
        <v>50</v>
      </c>
      <c r="AM207" t="s">
        <v>49</v>
      </c>
      <c r="AN207" t="s">
        <v>1291</v>
      </c>
    </row>
    <row r="208" spans="1:40" x14ac:dyDescent="0.2">
      <c r="A208">
        <v>622794</v>
      </c>
      <c r="B208" t="s">
        <v>1292</v>
      </c>
      <c r="C208" t="str">
        <f>"9789027227508"</f>
        <v>9789027227508</v>
      </c>
      <c r="D208" t="str">
        <f>"9789027294913"</f>
        <v>9789027294913</v>
      </c>
      <c r="E208" t="s">
        <v>1280</v>
      </c>
      <c r="F208" t="s">
        <v>1280</v>
      </c>
      <c r="G208" s="1">
        <v>36571</v>
      </c>
      <c r="H208" s="1">
        <v>40604</v>
      </c>
      <c r="I208" t="s">
        <v>43</v>
      </c>
      <c r="L208" t="s">
        <v>1293</v>
      </c>
      <c r="M208" t="s">
        <v>45</v>
      </c>
      <c r="N208" t="s">
        <v>1294</v>
      </c>
      <c r="O208" t="s">
        <v>1295</v>
      </c>
      <c r="P208" t="s">
        <v>1296</v>
      </c>
      <c r="Q208" t="s">
        <v>48</v>
      </c>
      <c r="R208" t="s">
        <v>49</v>
      </c>
      <c r="S208" t="s">
        <v>50</v>
      </c>
      <c r="T208" t="s">
        <v>50</v>
      </c>
      <c r="U208" t="s">
        <v>49</v>
      </c>
      <c r="V208" t="s">
        <v>49</v>
      </c>
      <c r="W208" t="s">
        <v>50</v>
      </c>
      <c r="X208" t="s">
        <v>49</v>
      </c>
      <c r="Y208" t="s">
        <v>49</v>
      </c>
      <c r="Z208">
        <v>197.5</v>
      </c>
      <c r="AA208">
        <v>197.5</v>
      </c>
      <c r="AB208">
        <v>158</v>
      </c>
      <c r="AC208">
        <v>237</v>
      </c>
      <c r="AD208" t="s">
        <v>49</v>
      </c>
      <c r="AE208">
        <v>10073638</v>
      </c>
      <c r="AF208">
        <v>216008</v>
      </c>
      <c r="AH208" t="s">
        <v>49</v>
      </c>
      <c r="AI208" t="s">
        <v>50</v>
      </c>
      <c r="AJ208" t="s">
        <v>51</v>
      </c>
      <c r="AK208" t="s">
        <v>50</v>
      </c>
      <c r="AM208" t="s">
        <v>49</v>
      </c>
      <c r="AN208" t="s">
        <v>1297</v>
      </c>
    </row>
    <row r="209" spans="1:40" x14ac:dyDescent="0.2">
      <c r="A209">
        <v>744421</v>
      </c>
      <c r="B209" t="s">
        <v>1298</v>
      </c>
      <c r="C209" t="str">
        <f>"9781903734032"</f>
        <v>9781903734032</v>
      </c>
      <c r="D209" t="str">
        <f>"9781905832484"</f>
        <v>9781905832484</v>
      </c>
      <c r="E209" t="s">
        <v>1299</v>
      </c>
      <c r="F209" t="s">
        <v>1300</v>
      </c>
      <c r="G209" s="1">
        <v>39722</v>
      </c>
      <c r="H209" s="1">
        <v>40765</v>
      </c>
      <c r="I209" t="s">
        <v>43</v>
      </c>
      <c r="J209">
        <v>3</v>
      </c>
      <c r="K209" t="s">
        <v>1301</v>
      </c>
      <c r="L209" t="s">
        <v>1302</v>
      </c>
      <c r="M209" t="s">
        <v>682</v>
      </c>
      <c r="N209" t="s">
        <v>1303</v>
      </c>
      <c r="O209">
        <v>616.52599999999995</v>
      </c>
      <c r="P209" t="s">
        <v>1304</v>
      </c>
      <c r="Q209" t="s">
        <v>48</v>
      </c>
      <c r="R209" t="s">
        <v>49</v>
      </c>
      <c r="S209" t="s">
        <v>50</v>
      </c>
      <c r="T209" t="s">
        <v>50</v>
      </c>
      <c r="U209" t="s">
        <v>49</v>
      </c>
      <c r="V209" t="s">
        <v>49</v>
      </c>
      <c r="W209" t="s">
        <v>50</v>
      </c>
      <c r="X209" t="s">
        <v>50</v>
      </c>
      <c r="Y209" t="s">
        <v>50</v>
      </c>
      <c r="Z209">
        <v>25</v>
      </c>
      <c r="AA209">
        <v>31.25</v>
      </c>
      <c r="AB209">
        <v>25</v>
      </c>
      <c r="AC209">
        <v>37.5</v>
      </c>
      <c r="AD209" t="s">
        <v>49</v>
      </c>
      <c r="AE209">
        <v>10480482</v>
      </c>
      <c r="AF209">
        <v>185615</v>
      </c>
      <c r="AH209" t="s">
        <v>49</v>
      </c>
      <c r="AI209" t="s">
        <v>50</v>
      </c>
      <c r="AJ209" t="s">
        <v>51</v>
      </c>
      <c r="AK209" t="s">
        <v>50</v>
      </c>
      <c r="AM209" t="s">
        <v>49</v>
      </c>
      <c r="AN209" t="s">
        <v>1305</v>
      </c>
    </row>
    <row r="210" spans="1:40" x14ac:dyDescent="0.2">
      <c r="A210">
        <v>744429</v>
      </c>
      <c r="B210" t="s">
        <v>1306</v>
      </c>
      <c r="C210" t="str">
        <f>"9781903734995"</f>
        <v>9781903734995</v>
      </c>
      <c r="D210" t="str">
        <f>"9781905832439"</f>
        <v>9781905832439</v>
      </c>
      <c r="E210" t="s">
        <v>1299</v>
      </c>
      <c r="F210" t="s">
        <v>1300</v>
      </c>
      <c r="G210" s="1">
        <v>39539</v>
      </c>
      <c r="H210" s="1">
        <v>40765</v>
      </c>
      <c r="I210" t="s">
        <v>43</v>
      </c>
      <c r="J210">
        <v>1</v>
      </c>
      <c r="K210" t="s">
        <v>1301</v>
      </c>
      <c r="L210" t="s">
        <v>1307</v>
      </c>
      <c r="M210" t="s">
        <v>682</v>
      </c>
      <c r="N210" t="s">
        <v>1308</v>
      </c>
      <c r="O210">
        <v>616.99446</v>
      </c>
      <c r="P210" t="s">
        <v>1309</v>
      </c>
      <c r="Q210" t="s">
        <v>48</v>
      </c>
      <c r="R210" t="s">
        <v>49</v>
      </c>
      <c r="S210" t="s">
        <v>50</v>
      </c>
      <c r="T210" t="s">
        <v>50</v>
      </c>
      <c r="U210" t="s">
        <v>49</v>
      </c>
      <c r="V210" t="s">
        <v>49</v>
      </c>
      <c r="W210" t="s">
        <v>50</v>
      </c>
      <c r="X210" t="s">
        <v>50</v>
      </c>
      <c r="Y210" t="s">
        <v>50</v>
      </c>
      <c r="Z210">
        <v>25</v>
      </c>
      <c r="AA210">
        <v>31.25</v>
      </c>
      <c r="AB210">
        <v>25</v>
      </c>
      <c r="AC210">
        <v>37.5</v>
      </c>
      <c r="AD210" t="s">
        <v>49</v>
      </c>
      <c r="AE210">
        <v>10480456</v>
      </c>
      <c r="AF210">
        <v>128417</v>
      </c>
      <c r="AH210" t="s">
        <v>49</v>
      </c>
      <c r="AI210" t="s">
        <v>50</v>
      </c>
      <c r="AJ210" t="s">
        <v>51</v>
      </c>
      <c r="AK210" t="s">
        <v>50</v>
      </c>
      <c r="AM210" t="s">
        <v>49</v>
      </c>
      <c r="AN210" t="s">
        <v>1310</v>
      </c>
    </row>
    <row r="211" spans="1:40" x14ac:dyDescent="0.2">
      <c r="A211">
        <v>744442</v>
      </c>
      <c r="B211" t="s">
        <v>1311</v>
      </c>
      <c r="C211" t="str">
        <f>"9781903734940"</f>
        <v>9781903734940</v>
      </c>
      <c r="D211" t="str">
        <f>"9781905832385"</f>
        <v>9781905832385</v>
      </c>
      <c r="E211" t="s">
        <v>1299</v>
      </c>
      <c r="F211" t="s">
        <v>1300</v>
      </c>
      <c r="G211" s="1">
        <v>39448</v>
      </c>
      <c r="H211" s="1">
        <v>40765</v>
      </c>
      <c r="I211" t="s">
        <v>43</v>
      </c>
      <c r="J211">
        <v>1</v>
      </c>
      <c r="K211" t="s">
        <v>1301</v>
      </c>
      <c r="L211" t="s">
        <v>1312</v>
      </c>
      <c r="M211" t="s">
        <v>282</v>
      </c>
      <c r="N211" t="s">
        <v>1313</v>
      </c>
      <c r="O211">
        <v>201.661</v>
      </c>
      <c r="P211" t="s">
        <v>1314</v>
      </c>
      <c r="Q211" t="s">
        <v>48</v>
      </c>
      <c r="R211" t="s">
        <v>49</v>
      </c>
      <c r="S211" t="s">
        <v>50</v>
      </c>
      <c r="T211" t="s">
        <v>50</v>
      </c>
      <c r="U211" t="s">
        <v>49</v>
      </c>
      <c r="V211" t="s">
        <v>49</v>
      </c>
      <c r="W211" t="s">
        <v>50</v>
      </c>
      <c r="X211" t="s">
        <v>50</v>
      </c>
      <c r="Y211" t="s">
        <v>50</v>
      </c>
      <c r="Z211">
        <v>25</v>
      </c>
      <c r="AA211">
        <v>31.25</v>
      </c>
      <c r="AB211">
        <v>25</v>
      </c>
      <c r="AC211">
        <v>37.5</v>
      </c>
      <c r="AD211" t="s">
        <v>49</v>
      </c>
      <c r="AE211">
        <v>10480472</v>
      </c>
      <c r="AF211">
        <v>114340</v>
      </c>
      <c r="AH211" t="s">
        <v>49</v>
      </c>
      <c r="AI211" t="s">
        <v>50</v>
      </c>
      <c r="AJ211" t="s">
        <v>51</v>
      </c>
      <c r="AK211" t="s">
        <v>50</v>
      </c>
      <c r="AM211" t="s">
        <v>49</v>
      </c>
      <c r="AN211" t="s">
        <v>1315</v>
      </c>
    </row>
    <row r="212" spans="1:40" x14ac:dyDescent="0.2">
      <c r="A212">
        <v>744448</v>
      </c>
      <c r="B212" t="s">
        <v>1316</v>
      </c>
      <c r="C212" t="str">
        <f>"9781905832507"</f>
        <v>9781905832507</v>
      </c>
      <c r="D212" t="str">
        <f>"9781905832590"</f>
        <v>9781905832590</v>
      </c>
      <c r="E212" t="s">
        <v>1317</v>
      </c>
      <c r="F212" t="s">
        <v>1300</v>
      </c>
      <c r="G212" s="1">
        <v>39845</v>
      </c>
      <c r="H212" s="1">
        <v>40765</v>
      </c>
      <c r="I212" t="s">
        <v>43</v>
      </c>
      <c r="J212">
        <v>3</v>
      </c>
      <c r="K212" t="s">
        <v>1301</v>
      </c>
      <c r="L212" t="s">
        <v>1318</v>
      </c>
      <c r="M212" t="s">
        <v>1319</v>
      </c>
      <c r="N212" t="s">
        <v>1320</v>
      </c>
      <c r="O212">
        <v>613.94000000000005</v>
      </c>
      <c r="P212" t="s">
        <v>1321</v>
      </c>
      <c r="Q212" t="s">
        <v>48</v>
      </c>
      <c r="R212" t="s">
        <v>49</v>
      </c>
      <c r="S212" t="s">
        <v>50</v>
      </c>
      <c r="T212" t="s">
        <v>50</v>
      </c>
      <c r="U212" t="s">
        <v>49</v>
      </c>
      <c r="V212" t="s">
        <v>49</v>
      </c>
      <c r="W212" t="s">
        <v>50</v>
      </c>
      <c r="X212" t="s">
        <v>50</v>
      </c>
      <c r="Y212" t="s">
        <v>50</v>
      </c>
      <c r="Z212">
        <v>25</v>
      </c>
      <c r="AA212">
        <v>31.25</v>
      </c>
      <c r="AB212">
        <v>25</v>
      </c>
      <c r="AC212">
        <v>37.5</v>
      </c>
      <c r="AD212" t="s">
        <v>49</v>
      </c>
      <c r="AE212">
        <v>10480461</v>
      </c>
      <c r="AF212">
        <v>206762</v>
      </c>
      <c r="AH212" t="s">
        <v>50</v>
      </c>
      <c r="AI212" t="s">
        <v>50</v>
      </c>
      <c r="AJ212" t="s">
        <v>51</v>
      </c>
      <c r="AK212" t="s">
        <v>50</v>
      </c>
      <c r="AM212" t="s">
        <v>49</v>
      </c>
      <c r="AN212" t="s">
        <v>1322</v>
      </c>
    </row>
    <row r="213" spans="1:40" x14ac:dyDescent="0.2">
      <c r="A213">
        <v>744455</v>
      </c>
      <c r="B213" t="s">
        <v>1323</v>
      </c>
      <c r="C213" t="str">
        <f>"9781905832460"</f>
        <v>9781905832460</v>
      </c>
      <c r="D213" t="str">
        <f>"9781905832477"</f>
        <v>9781905832477</v>
      </c>
      <c r="E213" t="s">
        <v>1299</v>
      </c>
      <c r="F213" t="s">
        <v>1300</v>
      </c>
      <c r="G213" s="1">
        <v>39692</v>
      </c>
      <c r="H213" s="1">
        <v>40765</v>
      </c>
      <c r="I213" t="s">
        <v>43</v>
      </c>
      <c r="J213">
        <v>3</v>
      </c>
      <c r="K213" t="s">
        <v>1301</v>
      </c>
      <c r="L213" t="s">
        <v>1324</v>
      </c>
      <c r="M213" t="s">
        <v>682</v>
      </c>
      <c r="N213" t="s">
        <v>1325</v>
      </c>
      <c r="O213">
        <v>616.34400000000005</v>
      </c>
      <c r="P213" t="s">
        <v>1326</v>
      </c>
      <c r="Q213" t="s">
        <v>48</v>
      </c>
      <c r="R213" t="s">
        <v>49</v>
      </c>
      <c r="S213" t="s">
        <v>50</v>
      </c>
      <c r="T213" t="s">
        <v>50</v>
      </c>
      <c r="U213" t="s">
        <v>49</v>
      </c>
      <c r="V213" t="s">
        <v>49</v>
      </c>
      <c r="W213" t="s">
        <v>50</v>
      </c>
      <c r="X213" t="s">
        <v>50</v>
      </c>
      <c r="Y213" t="s">
        <v>50</v>
      </c>
      <c r="Z213">
        <v>25</v>
      </c>
      <c r="AA213">
        <v>31.25</v>
      </c>
      <c r="AB213">
        <v>25</v>
      </c>
      <c r="AC213">
        <v>37.5</v>
      </c>
      <c r="AD213" t="s">
        <v>49</v>
      </c>
      <c r="AE213">
        <v>10480475</v>
      </c>
      <c r="AF213">
        <v>178602</v>
      </c>
      <c r="AH213" t="s">
        <v>49</v>
      </c>
      <c r="AI213" t="s">
        <v>50</v>
      </c>
      <c r="AJ213" t="s">
        <v>51</v>
      </c>
      <c r="AK213" t="s">
        <v>50</v>
      </c>
      <c r="AM213" t="s">
        <v>49</v>
      </c>
      <c r="AN213" t="s">
        <v>1327</v>
      </c>
    </row>
    <row r="214" spans="1:40" x14ac:dyDescent="0.2">
      <c r="A214">
        <v>744456</v>
      </c>
      <c r="B214" t="s">
        <v>1328</v>
      </c>
      <c r="C214" t="str">
        <f>"9781903734810"</f>
        <v>9781903734810</v>
      </c>
      <c r="D214" t="str">
        <f>"9781905832613"</f>
        <v>9781905832613</v>
      </c>
      <c r="E214" t="s">
        <v>1299</v>
      </c>
      <c r="F214" t="s">
        <v>1317</v>
      </c>
      <c r="G214" s="1">
        <v>39904</v>
      </c>
      <c r="H214" s="1">
        <v>40765</v>
      </c>
      <c r="I214" t="s">
        <v>43</v>
      </c>
      <c r="J214">
        <v>1</v>
      </c>
      <c r="K214" t="s">
        <v>1301</v>
      </c>
      <c r="L214" t="s">
        <v>1329</v>
      </c>
      <c r="M214" t="s">
        <v>682</v>
      </c>
      <c r="N214" t="s">
        <v>1330</v>
      </c>
      <c r="O214">
        <v>616.70000000000005</v>
      </c>
      <c r="P214" t="s">
        <v>1331</v>
      </c>
      <c r="Q214" t="s">
        <v>48</v>
      </c>
      <c r="R214" t="s">
        <v>49</v>
      </c>
      <c r="S214" t="s">
        <v>50</v>
      </c>
      <c r="T214" t="s">
        <v>50</v>
      </c>
      <c r="U214" t="s">
        <v>49</v>
      </c>
      <c r="V214" t="s">
        <v>49</v>
      </c>
      <c r="W214" t="s">
        <v>50</v>
      </c>
      <c r="X214" t="s">
        <v>50</v>
      </c>
      <c r="Y214" t="s">
        <v>50</v>
      </c>
      <c r="Z214">
        <v>25</v>
      </c>
      <c r="AA214">
        <v>31.25</v>
      </c>
      <c r="AB214">
        <v>25</v>
      </c>
      <c r="AC214">
        <v>37.5</v>
      </c>
      <c r="AD214" t="s">
        <v>49</v>
      </c>
      <c r="AE214">
        <v>10480464</v>
      </c>
      <c r="AF214">
        <v>206764</v>
      </c>
      <c r="AH214" t="s">
        <v>50</v>
      </c>
      <c r="AI214" t="s">
        <v>50</v>
      </c>
      <c r="AJ214" t="s">
        <v>51</v>
      </c>
      <c r="AK214" t="s">
        <v>50</v>
      </c>
      <c r="AM214" t="s">
        <v>49</v>
      </c>
      <c r="AN214" t="s">
        <v>1332</v>
      </c>
    </row>
    <row r="215" spans="1:40" x14ac:dyDescent="0.2">
      <c r="A215">
        <v>744459</v>
      </c>
      <c r="B215" t="s">
        <v>1333</v>
      </c>
      <c r="C215" t="str">
        <f>"9781903734018"</f>
        <v>9781903734018</v>
      </c>
      <c r="D215" t="str">
        <f>"9781905832361"</f>
        <v>9781905832361</v>
      </c>
      <c r="E215" t="s">
        <v>1317</v>
      </c>
      <c r="F215" t="s">
        <v>1300</v>
      </c>
      <c r="G215" s="1">
        <v>39448</v>
      </c>
      <c r="H215" s="1">
        <v>40765</v>
      </c>
      <c r="I215" t="s">
        <v>43</v>
      </c>
      <c r="J215">
        <v>2</v>
      </c>
      <c r="K215" t="s">
        <v>1301</v>
      </c>
      <c r="L215" t="s">
        <v>1334</v>
      </c>
      <c r="M215" t="s">
        <v>682</v>
      </c>
      <c r="N215" t="s">
        <v>1335</v>
      </c>
      <c r="O215">
        <v>617</v>
      </c>
      <c r="P215" t="s">
        <v>1336</v>
      </c>
      <c r="Q215" t="s">
        <v>48</v>
      </c>
      <c r="R215" t="s">
        <v>50</v>
      </c>
      <c r="S215" t="s">
        <v>50</v>
      </c>
      <c r="T215" t="s">
        <v>50</v>
      </c>
      <c r="U215" t="s">
        <v>49</v>
      </c>
      <c r="V215" t="s">
        <v>49</v>
      </c>
      <c r="W215" t="s">
        <v>50</v>
      </c>
      <c r="X215" t="s">
        <v>50</v>
      </c>
      <c r="Y215" t="s">
        <v>50</v>
      </c>
      <c r="AB215">
        <v>25</v>
      </c>
      <c r="AD215" t="s">
        <v>49</v>
      </c>
      <c r="AE215">
        <v>10480462</v>
      </c>
      <c r="AF215">
        <v>114339</v>
      </c>
      <c r="AH215" t="s">
        <v>50</v>
      </c>
      <c r="AI215" t="s">
        <v>50</v>
      </c>
      <c r="AJ215" t="s">
        <v>51</v>
      </c>
      <c r="AK215" t="s">
        <v>50</v>
      </c>
      <c r="AM215" t="s">
        <v>49</v>
      </c>
      <c r="AN215" t="s">
        <v>1337</v>
      </c>
    </row>
    <row r="216" spans="1:40" x14ac:dyDescent="0.2">
      <c r="A216">
        <v>819470</v>
      </c>
      <c r="B216" t="s">
        <v>1338</v>
      </c>
      <c r="C216" t="str">
        <f>"9781444338829"</f>
        <v>9781444338829</v>
      </c>
      <c r="D216" t="str">
        <f>"9781444391626"</f>
        <v>9781444391626</v>
      </c>
      <c r="E216" t="s">
        <v>54</v>
      </c>
      <c r="F216" t="s">
        <v>192</v>
      </c>
      <c r="G216" s="1">
        <v>38387</v>
      </c>
      <c r="H216" s="1">
        <v>42300</v>
      </c>
      <c r="I216" t="s">
        <v>43</v>
      </c>
      <c r="J216">
        <v>1</v>
      </c>
      <c r="K216" t="s">
        <v>1339</v>
      </c>
      <c r="L216" t="s">
        <v>1340</v>
      </c>
      <c r="M216" t="s">
        <v>91</v>
      </c>
      <c r="N216" t="s">
        <v>1341</v>
      </c>
      <c r="O216">
        <v>973.7</v>
      </c>
      <c r="P216" t="s">
        <v>1342</v>
      </c>
      <c r="Q216" t="s">
        <v>48</v>
      </c>
      <c r="R216" t="s">
        <v>49</v>
      </c>
      <c r="S216" t="s">
        <v>50</v>
      </c>
      <c r="T216" t="s">
        <v>50</v>
      </c>
      <c r="U216" t="s">
        <v>49</v>
      </c>
      <c r="V216" t="s">
        <v>49</v>
      </c>
      <c r="W216" t="s">
        <v>50</v>
      </c>
      <c r="X216" t="s">
        <v>49</v>
      </c>
      <c r="Y216" t="s">
        <v>50</v>
      </c>
      <c r="Z216">
        <v>85.88</v>
      </c>
      <c r="AA216">
        <v>85.88</v>
      </c>
      <c r="AB216">
        <v>57.25</v>
      </c>
      <c r="AC216">
        <v>100.19</v>
      </c>
      <c r="AD216" t="s">
        <v>49</v>
      </c>
      <c r="AE216">
        <v>11098014</v>
      </c>
      <c r="AF216">
        <v>131253</v>
      </c>
      <c r="AH216" t="s">
        <v>50</v>
      </c>
      <c r="AI216" t="s">
        <v>50</v>
      </c>
      <c r="AJ216" t="s">
        <v>51</v>
      </c>
      <c r="AK216" t="s">
        <v>50</v>
      </c>
      <c r="AM216" t="s">
        <v>49</v>
      </c>
      <c r="AN216" t="s">
        <v>1343</v>
      </c>
    </row>
    <row r="217" spans="1:40" x14ac:dyDescent="0.2">
      <c r="A217">
        <v>1591175</v>
      </c>
      <c r="B217" t="s">
        <v>1344</v>
      </c>
      <c r="C217" t="str">
        <f>"9780195088366"</f>
        <v>9780195088366</v>
      </c>
      <c r="D217" t="str">
        <f>"9780195358490"</f>
        <v>9780195358490</v>
      </c>
      <c r="E217" t="s">
        <v>900</v>
      </c>
      <c r="F217" t="s">
        <v>900</v>
      </c>
      <c r="G217" s="1">
        <v>35649</v>
      </c>
      <c r="H217" s="1">
        <v>41815</v>
      </c>
      <c r="I217" t="s">
        <v>43</v>
      </c>
      <c r="K217" t="s">
        <v>1345</v>
      </c>
      <c r="L217" t="s">
        <v>1346</v>
      </c>
      <c r="M217" t="s">
        <v>134</v>
      </c>
      <c r="N217" t="s">
        <v>1347</v>
      </c>
      <c r="O217" t="s">
        <v>1348</v>
      </c>
      <c r="P217" t="s">
        <v>1349</v>
      </c>
      <c r="Q217" t="s">
        <v>48</v>
      </c>
      <c r="R217" t="s">
        <v>49</v>
      </c>
      <c r="S217" t="s">
        <v>50</v>
      </c>
      <c r="T217" t="s">
        <v>50</v>
      </c>
      <c r="U217" t="s">
        <v>49</v>
      </c>
      <c r="V217" t="s">
        <v>49</v>
      </c>
      <c r="W217" t="s">
        <v>50</v>
      </c>
      <c r="X217" t="s">
        <v>49</v>
      </c>
      <c r="Y217" t="s">
        <v>50</v>
      </c>
      <c r="Z217">
        <v>311.02</v>
      </c>
      <c r="AA217">
        <v>254.48</v>
      </c>
      <c r="AB217">
        <v>188.5</v>
      </c>
      <c r="AC217">
        <v>311.02</v>
      </c>
      <c r="AD217" t="s">
        <v>49</v>
      </c>
      <c r="AE217">
        <v>10087188</v>
      </c>
      <c r="AF217">
        <v>44295</v>
      </c>
      <c r="AH217" t="s">
        <v>49</v>
      </c>
      <c r="AI217" t="s">
        <v>50</v>
      </c>
      <c r="AJ217" t="s">
        <v>51</v>
      </c>
      <c r="AK217" t="s">
        <v>50</v>
      </c>
      <c r="AM217" t="s">
        <v>49</v>
      </c>
      <c r="AN217" t="s">
        <v>1350</v>
      </c>
    </row>
    <row r="218" spans="1:40" x14ac:dyDescent="0.2">
      <c r="A218">
        <v>1594690</v>
      </c>
      <c r="B218" t="s">
        <v>1351</v>
      </c>
      <c r="C218" t="str">
        <f>"9780786471591"</f>
        <v>9780786471591</v>
      </c>
      <c r="D218" t="str">
        <f>"9780786453078"</f>
        <v>9780786453078</v>
      </c>
      <c r="E218" t="s">
        <v>1352</v>
      </c>
      <c r="F218" t="s">
        <v>1352</v>
      </c>
      <c r="G218" s="1">
        <v>40148</v>
      </c>
      <c r="H218" s="1">
        <v>41647</v>
      </c>
      <c r="I218" t="s">
        <v>43</v>
      </c>
      <c r="J218">
        <v>1</v>
      </c>
      <c r="L218" t="s">
        <v>1353</v>
      </c>
      <c r="M218" t="s">
        <v>91</v>
      </c>
      <c r="N218" t="s">
        <v>1354</v>
      </c>
      <c r="O218">
        <v>929.37566900000002</v>
      </c>
      <c r="P218" t="s">
        <v>1355</v>
      </c>
      <c r="Q218" t="s">
        <v>48</v>
      </c>
      <c r="R218" t="s">
        <v>49</v>
      </c>
      <c r="S218" t="s">
        <v>50</v>
      </c>
      <c r="T218" t="s">
        <v>50</v>
      </c>
      <c r="U218" t="s">
        <v>49</v>
      </c>
      <c r="V218" t="s">
        <v>49</v>
      </c>
      <c r="W218" t="s">
        <v>50</v>
      </c>
      <c r="X218" t="s">
        <v>49</v>
      </c>
      <c r="Y218" t="s">
        <v>49</v>
      </c>
      <c r="Z218">
        <v>131.25</v>
      </c>
      <c r="AA218">
        <v>112.5</v>
      </c>
      <c r="AB218">
        <v>75</v>
      </c>
      <c r="AC218">
        <v>150</v>
      </c>
      <c r="AD218" t="s">
        <v>49</v>
      </c>
      <c r="AE218">
        <v>10292275</v>
      </c>
      <c r="AF218">
        <v>228105</v>
      </c>
      <c r="AH218" t="s">
        <v>49</v>
      </c>
      <c r="AI218" t="s">
        <v>50</v>
      </c>
      <c r="AJ218" t="s">
        <v>51</v>
      </c>
      <c r="AK218" t="s">
        <v>50</v>
      </c>
      <c r="AM218" t="s">
        <v>49</v>
      </c>
      <c r="AN218" t="s">
        <v>1356</v>
      </c>
    </row>
    <row r="219" spans="1:40" x14ac:dyDescent="0.2">
      <c r="A219">
        <v>1681334</v>
      </c>
      <c r="B219" t="s">
        <v>1357</v>
      </c>
      <c r="C219" t="str">
        <f>"9789812770875"</f>
        <v>9789812770875</v>
      </c>
      <c r="D219" t="str">
        <f>"9789812770882"</f>
        <v>9789812770882</v>
      </c>
      <c r="E219" t="s">
        <v>1358</v>
      </c>
      <c r="F219" t="s">
        <v>1359</v>
      </c>
      <c r="G219" s="1">
        <v>39508</v>
      </c>
      <c r="H219" s="1">
        <v>41758</v>
      </c>
      <c r="I219" t="s">
        <v>43</v>
      </c>
      <c r="L219" t="s">
        <v>1360</v>
      </c>
      <c r="M219" t="s">
        <v>1361</v>
      </c>
      <c r="N219" t="s">
        <v>1362</v>
      </c>
      <c r="O219">
        <v>616.86105999999995</v>
      </c>
      <c r="P219" t="s">
        <v>1363</v>
      </c>
      <c r="Q219" t="s">
        <v>48</v>
      </c>
      <c r="R219" t="s">
        <v>49</v>
      </c>
      <c r="S219" t="s">
        <v>50</v>
      </c>
      <c r="T219" t="s">
        <v>50</v>
      </c>
      <c r="U219" t="s">
        <v>50</v>
      </c>
      <c r="V219" t="s">
        <v>49</v>
      </c>
      <c r="W219" t="s">
        <v>50</v>
      </c>
      <c r="X219" t="s">
        <v>50</v>
      </c>
      <c r="Y219" t="s">
        <v>50</v>
      </c>
      <c r="Z219">
        <v>280</v>
      </c>
      <c r="AA219">
        <v>350</v>
      </c>
      <c r="AB219">
        <v>280</v>
      </c>
      <c r="AC219">
        <v>420</v>
      </c>
      <c r="AD219" t="s">
        <v>49</v>
      </c>
      <c r="AE219">
        <v>10256001</v>
      </c>
      <c r="AF219">
        <v>191162</v>
      </c>
      <c r="AH219" t="s">
        <v>49</v>
      </c>
      <c r="AI219" t="s">
        <v>50</v>
      </c>
      <c r="AJ219" t="s">
        <v>51</v>
      </c>
      <c r="AK219" t="s">
        <v>50</v>
      </c>
      <c r="AM219" t="s">
        <v>49</v>
      </c>
      <c r="AN219" t="s">
        <v>1364</v>
      </c>
    </row>
    <row r="220" spans="1:40" x14ac:dyDescent="0.2">
      <c r="A220">
        <v>1900027</v>
      </c>
      <c r="B220" t="s">
        <v>1365</v>
      </c>
      <c r="C220" t="str">
        <f>"9780765616012"</f>
        <v>9780765616012</v>
      </c>
      <c r="D220" t="str">
        <f>"9781317467007"</f>
        <v>9781317467007</v>
      </c>
      <c r="E220" t="s">
        <v>41</v>
      </c>
      <c r="F220" t="s">
        <v>42</v>
      </c>
      <c r="G220" s="1">
        <v>39553</v>
      </c>
      <c r="H220" s="1">
        <v>41992</v>
      </c>
      <c r="I220" t="s">
        <v>43</v>
      </c>
      <c r="L220" t="s">
        <v>1366</v>
      </c>
      <c r="M220" t="s">
        <v>1367</v>
      </c>
      <c r="N220" t="s">
        <v>1368</v>
      </c>
      <c r="O220" t="s">
        <v>1369</v>
      </c>
      <c r="P220" t="s">
        <v>1370</v>
      </c>
      <c r="Q220" t="s">
        <v>48</v>
      </c>
      <c r="R220" t="s">
        <v>49</v>
      </c>
      <c r="S220" t="s">
        <v>50</v>
      </c>
      <c r="T220" t="s">
        <v>50</v>
      </c>
      <c r="U220" t="s">
        <v>49</v>
      </c>
      <c r="V220" t="s">
        <v>49</v>
      </c>
      <c r="W220" t="s">
        <v>50</v>
      </c>
      <c r="X220" t="s">
        <v>49</v>
      </c>
      <c r="Y220" t="s">
        <v>50</v>
      </c>
      <c r="AA220">
        <v>293.75</v>
      </c>
      <c r="AB220">
        <v>235</v>
      </c>
      <c r="AC220">
        <v>352.5</v>
      </c>
      <c r="AD220" t="s">
        <v>49</v>
      </c>
      <c r="AE220">
        <v>10292199</v>
      </c>
      <c r="AF220">
        <v>211937</v>
      </c>
      <c r="AH220" t="s">
        <v>49</v>
      </c>
      <c r="AI220" t="s">
        <v>50</v>
      </c>
      <c r="AJ220" t="s">
        <v>51</v>
      </c>
      <c r="AK220" t="s">
        <v>50</v>
      </c>
      <c r="AM220" t="s">
        <v>49</v>
      </c>
      <c r="AN220" t="s">
        <v>1371</v>
      </c>
    </row>
    <row r="221" spans="1:40" x14ac:dyDescent="0.2">
      <c r="A221">
        <v>2194949</v>
      </c>
      <c r="B221" t="s">
        <v>1372</v>
      </c>
      <c r="C221" t="str">
        <f>"9781138960343"</f>
        <v>9781138960343</v>
      </c>
      <c r="D221" t="str">
        <f>"9781317304784"</f>
        <v>9781317304784</v>
      </c>
      <c r="E221" t="s">
        <v>41</v>
      </c>
      <c r="F221" t="s">
        <v>42</v>
      </c>
      <c r="G221" s="1">
        <v>37435</v>
      </c>
      <c r="H221" s="1">
        <v>42244</v>
      </c>
      <c r="I221" t="s">
        <v>43</v>
      </c>
      <c r="L221" t="s">
        <v>1373</v>
      </c>
      <c r="M221" t="s">
        <v>45</v>
      </c>
      <c r="N221" t="s">
        <v>1374</v>
      </c>
      <c r="O221">
        <v>494.811824</v>
      </c>
      <c r="P221" t="s">
        <v>1375</v>
      </c>
      <c r="Q221" t="s">
        <v>48</v>
      </c>
      <c r="R221" t="s">
        <v>49</v>
      </c>
      <c r="S221" t="s">
        <v>50</v>
      </c>
      <c r="T221" t="s">
        <v>50</v>
      </c>
      <c r="U221" t="s">
        <v>49</v>
      </c>
      <c r="V221" t="s">
        <v>49</v>
      </c>
      <c r="W221" t="s">
        <v>50</v>
      </c>
      <c r="X221" t="s">
        <v>49</v>
      </c>
      <c r="Y221" t="s">
        <v>50</v>
      </c>
      <c r="AA221">
        <v>262.5</v>
      </c>
      <c r="AB221">
        <v>210</v>
      </c>
      <c r="AC221">
        <v>315</v>
      </c>
      <c r="AD221" t="s">
        <v>49</v>
      </c>
      <c r="AE221">
        <v>11167993</v>
      </c>
      <c r="AF221">
        <v>17481</v>
      </c>
      <c r="AH221" t="s">
        <v>50</v>
      </c>
      <c r="AI221" t="s">
        <v>50</v>
      </c>
      <c r="AJ221" t="s">
        <v>51</v>
      </c>
      <c r="AK221" t="s">
        <v>50</v>
      </c>
      <c r="AM221" t="s">
        <v>49</v>
      </c>
      <c r="AN221" t="s">
        <v>1376</v>
      </c>
    </row>
    <row r="222" spans="1:40" x14ac:dyDescent="0.2">
      <c r="A222">
        <v>3001206</v>
      </c>
      <c r="B222" t="s">
        <v>1377</v>
      </c>
      <c r="C222" t="str">
        <f>"9780313344886"</f>
        <v>9780313344886</v>
      </c>
      <c r="D222" t="str">
        <f>"9780313344893"</f>
        <v>9780313344893</v>
      </c>
      <c r="E222" t="s">
        <v>479</v>
      </c>
      <c r="F222" t="s">
        <v>1378</v>
      </c>
      <c r="G222" s="1">
        <v>39569</v>
      </c>
      <c r="H222" s="1">
        <v>39771</v>
      </c>
      <c r="I222" t="s">
        <v>43</v>
      </c>
      <c r="L222" t="s">
        <v>1379</v>
      </c>
      <c r="M222" t="s">
        <v>880</v>
      </c>
      <c r="N222" t="s">
        <v>1380</v>
      </c>
      <c r="O222" t="s">
        <v>1381</v>
      </c>
      <c r="P222" t="s">
        <v>1382</v>
      </c>
      <c r="Q222" t="s">
        <v>48</v>
      </c>
      <c r="R222" t="s">
        <v>49</v>
      </c>
      <c r="S222" t="s">
        <v>50</v>
      </c>
      <c r="T222" t="s">
        <v>50</v>
      </c>
      <c r="U222" t="s">
        <v>49</v>
      </c>
      <c r="V222" t="s">
        <v>49</v>
      </c>
      <c r="W222" t="s">
        <v>50</v>
      </c>
      <c r="X222" t="s">
        <v>49</v>
      </c>
      <c r="Y222" t="s">
        <v>50</v>
      </c>
      <c r="Z222">
        <v>68.25</v>
      </c>
      <c r="AA222">
        <v>58.5</v>
      </c>
      <c r="AB222">
        <v>39</v>
      </c>
      <c r="AC222">
        <v>78</v>
      </c>
      <c r="AD222" t="s">
        <v>49</v>
      </c>
      <c r="AE222">
        <v>10251312</v>
      </c>
      <c r="AF222">
        <v>177688</v>
      </c>
      <c r="AH222" t="s">
        <v>50</v>
      </c>
      <c r="AI222" t="s">
        <v>50</v>
      </c>
      <c r="AJ222" t="s">
        <v>51</v>
      </c>
      <c r="AK222" t="s">
        <v>50</v>
      </c>
      <c r="AM222" t="s">
        <v>49</v>
      </c>
      <c r="AN222" t="s">
        <v>1383</v>
      </c>
    </row>
    <row r="223" spans="1:40" x14ac:dyDescent="0.2">
      <c r="A223">
        <v>3001219</v>
      </c>
      <c r="B223" t="s">
        <v>1384</v>
      </c>
      <c r="C223" t="str">
        <f>"9780313331824"</f>
        <v>9780313331824</v>
      </c>
      <c r="D223" t="str">
        <f>"9780313021534"</f>
        <v>9780313021534</v>
      </c>
      <c r="E223" t="s">
        <v>479</v>
      </c>
      <c r="F223" t="s">
        <v>1378</v>
      </c>
      <c r="G223" s="1">
        <v>39539</v>
      </c>
      <c r="H223" s="1">
        <v>39771</v>
      </c>
      <c r="I223" t="s">
        <v>43</v>
      </c>
      <c r="L223" t="s">
        <v>1385</v>
      </c>
      <c r="M223" t="s">
        <v>91</v>
      </c>
      <c r="N223" t="s">
        <v>1386</v>
      </c>
      <c r="O223">
        <v>973.71</v>
      </c>
      <c r="P223" t="s">
        <v>1387</v>
      </c>
      <c r="Q223" t="s">
        <v>48</v>
      </c>
      <c r="R223" t="s">
        <v>49</v>
      </c>
      <c r="S223" t="s">
        <v>50</v>
      </c>
      <c r="T223" t="s">
        <v>50</v>
      </c>
      <c r="U223" t="s">
        <v>49</v>
      </c>
      <c r="V223" t="s">
        <v>49</v>
      </c>
      <c r="W223" t="s">
        <v>50</v>
      </c>
      <c r="X223" t="s">
        <v>49</v>
      </c>
      <c r="Y223" t="s">
        <v>50</v>
      </c>
      <c r="Z223">
        <v>126</v>
      </c>
      <c r="AA223">
        <v>108</v>
      </c>
      <c r="AB223">
        <v>72</v>
      </c>
      <c r="AC223">
        <v>144</v>
      </c>
      <c r="AD223" t="s">
        <v>49</v>
      </c>
      <c r="AE223">
        <v>10251326</v>
      </c>
      <c r="AF223">
        <v>177685</v>
      </c>
      <c r="AH223" t="s">
        <v>50</v>
      </c>
      <c r="AI223" t="s">
        <v>50</v>
      </c>
      <c r="AJ223" t="s">
        <v>51</v>
      </c>
      <c r="AK223" t="s">
        <v>50</v>
      </c>
      <c r="AM223" t="s">
        <v>49</v>
      </c>
      <c r="AN223" t="s">
        <v>1388</v>
      </c>
    </row>
    <row r="224" spans="1:40" x14ac:dyDescent="0.2">
      <c r="A224">
        <v>3001238</v>
      </c>
      <c r="B224" t="s">
        <v>1389</v>
      </c>
      <c r="C224" t="str">
        <f>"9780313343117"</f>
        <v>9780313343117</v>
      </c>
      <c r="D224" t="str">
        <f>"9780313343124"</f>
        <v>9780313343124</v>
      </c>
      <c r="E224" t="s">
        <v>479</v>
      </c>
      <c r="F224" t="s">
        <v>1378</v>
      </c>
      <c r="G224" s="1">
        <v>39569</v>
      </c>
      <c r="H224" s="1">
        <v>39771</v>
      </c>
      <c r="I224" t="s">
        <v>43</v>
      </c>
      <c r="L224" t="s">
        <v>1390</v>
      </c>
      <c r="M224" t="s">
        <v>115</v>
      </c>
      <c r="N224" t="s">
        <v>1391</v>
      </c>
      <c r="O224">
        <v>305.800973</v>
      </c>
      <c r="P224" t="s">
        <v>1392</v>
      </c>
      <c r="Q224" t="s">
        <v>48</v>
      </c>
      <c r="R224" t="s">
        <v>49</v>
      </c>
      <c r="S224" t="s">
        <v>50</v>
      </c>
      <c r="T224" t="s">
        <v>50</v>
      </c>
      <c r="U224" t="s">
        <v>49</v>
      </c>
      <c r="V224" t="s">
        <v>49</v>
      </c>
      <c r="W224" t="s">
        <v>50</v>
      </c>
      <c r="X224" t="s">
        <v>49</v>
      </c>
      <c r="Y224" t="s">
        <v>50</v>
      </c>
      <c r="Z224">
        <v>96.25</v>
      </c>
      <c r="AA224">
        <v>82.5</v>
      </c>
      <c r="AB224">
        <v>55</v>
      </c>
      <c r="AC224">
        <v>110</v>
      </c>
      <c r="AD224" t="s">
        <v>49</v>
      </c>
      <c r="AE224">
        <v>10251349</v>
      </c>
      <c r="AF224">
        <v>177692</v>
      </c>
      <c r="AH224" t="s">
        <v>50</v>
      </c>
      <c r="AI224" t="s">
        <v>50</v>
      </c>
      <c r="AJ224" t="s">
        <v>51</v>
      </c>
      <c r="AK224" t="s">
        <v>50</v>
      </c>
      <c r="AM224" t="s">
        <v>49</v>
      </c>
      <c r="AN224" t="s">
        <v>1393</v>
      </c>
    </row>
    <row r="225" spans="1:40" x14ac:dyDescent="0.2">
      <c r="A225">
        <v>3001241</v>
      </c>
      <c r="B225" t="s">
        <v>1394</v>
      </c>
      <c r="C225" t="str">
        <f>"9780275994310"</f>
        <v>9780275994310</v>
      </c>
      <c r="D225" t="str">
        <f>"9781567206692"</f>
        <v>9781567206692</v>
      </c>
      <c r="E225" t="s">
        <v>479</v>
      </c>
      <c r="F225" t="s">
        <v>1378</v>
      </c>
      <c r="G225" s="1">
        <v>39569</v>
      </c>
      <c r="H225" s="1">
        <v>39771</v>
      </c>
      <c r="I225" t="s">
        <v>43</v>
      </c>
      <c r="L225" t="s">
        <v>1395</v>
      </c>
      <c r="M225" t="s">
        <v>386</v>
      </c>
      <c r="N225" t="s">
        <v>1396</v>
      </c>
      <c r="O225">
        <v>973.93100000000004</v>
      </c>
      <c r="P225" t="s">
        <v>1397</v>
      </c>
      <c r="Q225" t="s">
        <v>48</v>
      </c>
      <c r="R225" t="s">
        <v>50</v>
      </c>
      <c r="S225" t="s">
        <v>50</v>
      </c>
      <c r="T225" t="s">
        <v>50</v>
      </c>
      <c r="U225" t="s">
        <v>49</v>
      </c>
      <c r="V225" t="s">
        <v>49</v>
      </c>
      <c r="W225" t="s">
        <v>50</v>
      </c>
      <c r="X225" t="s">
        <v>49</v>
      </c>
      <c r="Y225" t="s">
        <v>50</v>
      </c>
      <c r="Z225">
        <v>385</v>
      </c>
      <c r="AA225">
        <v>330</v>
      </c>
      <c r="AB225">
        <v>220</v>
      </c>
      <c r="AC225">
        <v>440</v>
      </c>
      <c r="AD225" t="s">
        <v>49</v>
      </c>
      <c r="AE225">
        <v>10251352</v>
      </c>
      <c r="AF225">
        <v>177715</v>
      </c>
      <c r="AH225" t="s">
        <v>50</v>
      </c>
      <c r="AI225" t="s">
        <v>50</v>
      </c>
      <c r="AJ225" t="s">
        <v>51</v>
      </c>
      <c r="AK225" t="s">
        <v>50</v>
      </c>
      <c r="AM225" t="s">
        <v>49</v>
      </c>
      <c r="AN225" t="s">
        <v>1398</v>
      </c>
    </row>
    <row r="226" spans="1:40" x14ac:dyDescent="0.2">
      <c r="A226">
        <v>3009796</v>
      </c>
      <c r="B226" t="s">
        <v>1399</v>
      </c>
      <c r="C226" t="str">
        <f>"9781604130539"</f>
        <v>9781604130539</v>
      </c>
      <c r="D226" t="str">
        <f>"9781438104362"</f>
        <v>9781438104362</v>
      </c>
      <c r="E226" t="s">
        <v>1400</v>
      </c>
      <c r="F226" t="s">
        <v>1401</v>
      </c>
      <c r="G226" s="1">
        <v>36526</v>
      </c>
      <c r="H226" s="1">
        <v>39900</v>
      </c>
      <c r="I226" t="s">
        <v>43</v>
      </c>
      <c r="J226">
        <v>1</v>
      </c>
      <c r="L226" t="s">
        <v>1402</v>
      </c>
      <c r="M226" t="s">
        <v>91</v>
      </c>
      <c r="N226" t="s">
        <v>1403</v>
      </c>
      <c r="O226" t="s">
        <v>1404</v>
      </c>
      <c r="P226" t="s">
        <v>1405</v>
      </c>
      <c r="Q226" t="s">
        <v>48</v>
      </c>
      <c r="R226" t="s">
        <v>49</v>
      </c>
      <c r="S226" t="s">
        <v>50</v>
      </c>
      <c r="T226" t="s">
        <v>50</v>
      </c>
      <c r="U226" t="s">
        <v>50</v>
      </c>
      <c r="V226" t="s">
        <v>49</v>
      </c>
      <c r="W226" t="s">
        <v>50</v>
      </c>
      <c r="X226" t="s">
        <v>50</v>
      </c>
      <c r="Y226" t="s">
        <v>50</v>
      </c>
      <c r="Z226">
        <v>42</v>
      </c>
      <c r="AA226">
        <v>52.5</v>
      </c>
      <c r="AB226">
        <v>42</v>
      </c>
      <c r="AC226">
        <v>63</v>
      </c>
      <c r="AD226" t="s">
        <v>49</v>
      </c>
      <c r="AE226">
        <v>10283850</v>
      </c>
      <c r="AF226">
        <v>204103</v>
      </c>
      <c r="AH226" t="s">
        <v>50</v>
      </c>
      <c r="AI226" t="s">
        <v>50</v>
      </c>
      <c r="AJ226" t="s">
        <v>51</v>
      </c>
      <c r="AK226" t="s">
        <v>50</v>
      </c>
      <c r="AM226" t="s">
        <v>49</v>
      </c>
      <c r="AN226" t="s">
        <v>1406</v>
      </c>
    </row>
    <row r="227" spans="1:40" x14ac:dyDescent="0.2">
      <c r="A227">
        <v>3009856</v>
      </c>
      <c r="B227" t="s">
        <v>1407</v>
      </c>
      <c r="C227" t="str">
        <f>"9780816063963"</f>
        <v>9780816063963</v>
      </c>
      <c r="D227" t="str">
        <f>"9781438120959"</f>
        <v>9781438120959</v>
      </c>
      <c r="E227" t="s">
        <v>1408</v>
      </c>
      <c r="F227" t="s">
        <v>1401</v>
      </c>
      <c r="G227" s="1">
        <v>39479</v>
      </c>
      <c r="H227" s="1">
        <v>39900</v>
      </c>
      <c r="I227" t="s">
        <v>43</v>
      </c>
      <c r="J227">
        <v>1</v>
      </c>
      <c r="L227" t="s">
        <v>1409</v>
      </c>
      <c r="M227" t="s">
        <v>682</v>
      </c>
      <c r="N227" t="s">
        <v>1410</v>
      </c>
      <c r="O227" t="s">
        <v>1411</v>
      </c>
      <c r="P227" t="s">
        <v>1412</v>
      </c>
      <c r="Q227" t="s">
        <v>48</v>
      </c>
      <c r="R227" t="s">
        <v>49</v>
      </c>
      <c r="S227" t="s">
        <v>50</v>
      </c>
      <c r="T227" t="s">
        <v>50</v>
      </c>
      <c r="U227" t="s">
        <v>50</v>
      </c>
      <c r="V227" t="s">
        <v>49</v>
      </c>
      <c r="W227" t="s">
        <v>50</v>
      </c>
      <c r="X227" t="s">
        <v>50</v>
      </c>
      <c r="Y227" t="s">
        <v>50</v>
      </c>
      <c r="Z227">
        <v>90</v>
      </c>
      <c r="AA227">
        <v>112.5</v>
      </c>
      <c r="AB227">
        <v>90</v>
      </c>
      <c r="AC227">
        <v>135</v>
      </c>
      <c r="AD227" t="s">
        <v>49</v>
      </c>
      <c r="AE227">
        <v>10283970</v>
      </c>
      <c r="AF227">
        <v>203920</v>
      </c>
      <c r="AH227" t="s">
        <v>50</v>
      </c>
      <c r="AI227" t="s">
        <v>50</v>
      </c>
      <c r="AJ227" t="s">
        <v>51</v>
      </c>
      <c r="AK227" t="s">
        <v>50</v>
      </c>
      <c r="AM227" t="s">
        <v>49</v>
      </c>
      <c r="AN227" t="s">
        <v>1413</v>
      </c>
    </row>
    <row r="228" spans="1:40" x14ac:dyDescent="0.2">
      <c r="A228">
        <v>3040010</v>
      </c>
      <c r="B228" t="s">
        <v>1414</v>
      </c>
      <c r="C228" t="str">
        <f>"9780826514387"</f>
        <v>9780826514387</v>
      </c>
      <c r="D228" t="str">
        <f>"9780826591753"</f>
        <v>9780826591753</v>
      </c>
      <c r="E228" t="s">
        <v>1415</v>
      </c>
      <c r="F228" t="s">
        <v>1415</v>
      </c>
      <c r="G228" s="1">
        <v>37865</v>
      </c>
      <c r="H228" s="1">
        <v>40061</v>
      </c>
      <c r="I228" t="s">
        <v>43</v>
      </c>
      <c r="L228" t="s">
        <v>1416</v>
      </c>
      <c r="M228" t="s">
        <v>880</v>
      </c>
      <c r="N228" t="s">
        <v>1417</v>
      </c>
      <c r="O228" t="s">
        <v>1418</v>
      </c>
      <c r="P228" t="s">
        <v>1419</v>
      </c>
      <c r="Q228" t="s">
        <v>48</v>
      </c>
      <c r="R228" t="s">
        <v>49</v>
      </c>
      <c r="S228" t="s">
        <v>50</v>
      </c>
      <c r="T228" t="s">
        <v>50</v>
      </c>
      <c r="U228" t="s">
        <v>49</v>
      </c>
      <c r="V228" t="s">
        <v>49</v>
      </c>
      <c r="W228" t="s">
        <v>50</v>
      </c>
      <c r="X228" t="s">
        <v>49</v>
      </c>
      <c r="Y228" t="s">
        <v>50</v>
      </c>
      <c r="Z228">
        <v>118.79</v>
      </c>
      <c r="AA228">
        <v>148.47999999999999</v>
      </c>
      <c r="AB228">
        <v>98.99</v>
      </c>
      <c r="AC228">
        <v>197.98</v>
      </c>
      <c r="AD228" t="s">
        <v>49</v>
      </c>
      <c r="AE228">
        <v>10326269</v>
      </c>
      <c r="AF228">
        <v>229714</v>
      </c>
      <c r="AH228" t="s">
        <v>50</v>
      </c>
      <c r="AI228" t="s">
        <v>50</v>
      </c>
      <c r="AJ228" t="s">
        <v>51</v>
      </c>
      <c r="AK228" t="s">
        <v>50</v>
      </c>
      <c r="AM228" t="s">
        <v>49</v>
      </c>
      <c r="AN228" t="s">
        <v>1420</v>
      </c>
    </row>
    <row r="229" spans="1:40" x14ac:dyDescent="0.2">
      <c r="A229">
        <v>3052991</v>
      </c>
      <c r="B229" t="s">
        <v>1421</v>
      </c>
      <c r="C229" t="str">
        <f>"9780195064575"</f>
        <v>9780195064575</v>
      </c>
      <c r="D229" t="str">
        <f>"9780199723546"</f>
        <v>9780199723546</v>
      </c>
      <c r="E229" t="s">
        <v>900</v>
      </c>
      <c r="F229" t="s">
        <v>900</v>
      </c>
      <c r="G229" s="1">
        <v>39813</v>
      </c>
      <c r="H229" s="1">
        <v>39893</v>
      </c>
      <c r="I229" t="s">
        <v>43</v>
      </c>
      <c r="L229" t="s">
        <v>1422</v>
      </c>
      <c r="M229" t="s">
        <v>1423</v>
      </c>
      <c r="N229" t="s">
        <v>1424</v>
      </c>
      <c r="O229">
        <v>500</v>
      </c>
      <c r="P229" t="s">
        <v>1425</v>
      </c>
      <c r="Q229" t="s">
        <v>48</v>
      </c>
      <c r="R229" t="s">
        <v>49</v>
      </c>
      <c r="S229" t="s">
        <v>50</v>
      </c>
      <c r="T229" t="s">
        <v>50</v>
      </c>
      <c r="U229" t="s">
        <v>49</v>
      </c>
      <c r="V229" t="s">
        <v>49</v>
      </c>
      <c r="W229" t="s">
        <v>50</v>
      </c>
      <c r="X229" t="s">
        <v>49</v>
      </c>
      <c r="Y229" t="s">
        <v>50</v>
      </c>
      <c r="Z229">
        <v>100.37</v>
      </c>
      <c r="AA229">
        <v>82.12</v>
      </c>
      <c r="AB229">
        <v>60.83</v>
      </c>
      <c r="AC229">
        <v>100.37</v>
      </c>
      <c r="AD229" t="s">
        <v>49</v>
      </c>
      <c r="AE229">
        <v>10282045</v>
      </c>
      <c r="AF229">
        <v>198053</v>
      </c>
      <c r="AH229" t="s">
        <v>50</v>
      </c>
      <c r="AI229" t="s">
        <v>50</v>
      </c>
      <c r="AJ229" t="s">
        <v>51</v>
      </c>
      <c r="AK229" t="s">
        <v>50</v>
      </c>
      <c r="AM229" t="s">
        <v>49</v>
      </c>
      <c r="AN229" t="s">
        <v>1426</v>
      </c>
    </row>
    <row r="230" spans="1:40" x14ac:dyDescent="0.2">
      <c r="A230">
        <v>3299498</v>
      </c>
      <c r="B230" t="s">
        <v>1427</v>
      </c>
      <c r="C230" t="str">
        <f>"9781592371150"</f>
        <v>9781592371150</v>
      </c>
      <c r="D230" t="str">
        <f>"9781592372287"</f>
        <v>9781592372287</v>
      </c>
      <c r="E230" t="s">
        <v>1428</v>
      </c>
      <c r="F230" t="s">
        <v>1428</v>
      </c>
      <c r="G230" s="1">
        <v>39630</v>
      </c>
      <c r="H230" s="1">
        <v>39788</v>
      </c>
      <c r="I230" t="s">
        <v>43</v>
      </c>
      <c r="J230">
        <v>1</v>
      </c>
      <c r="L230" t="s">
        <v>1429</v>
      </c>
      <c r="M230" t="s">
        <v>91</v>
      </c>
      <c r="N230" t="s">
        <v>1430</v>
      </c>
      <c r="O230">
        <v>973</v>
      </c>
      <c r="P230" t="s">
        <v>1431</v>
      </c>
      <c r="Q230" t="s">
        <v>48</v>
      </c>
      <c r="R230" t="s">
        <v>49</v>
      </c>
      <c r="S230" t="s">
        <v>50</v>
      </c>
      <c r="T230" t="s">
        <v>50</v>
      </c>
      <c r="U230" t="s">
        <v>49</v>
      </c>
      <c r="V230" t="s">
        <v>49</v>
      </c>
      <c r="W230" t="s">
        <v>50</v>
      </c>
      <c r="X230" t="s">
        <v>49</v>
      </c>
      <c r="Y230" t="s">
        <v>50</v>
      </c>
      <c r="Z230">
        <v>313</v>
      </c>
      <c r="AA230">
        <v>391.25</v>
      </c>
      <c r="AB230">
        <v>313</v>
      </c>
      <c r="AC230">
        <v>469.5</v>
      </c>
      <c r="AD230" t="s">
        <v>49</v>
      </c>
      <c r="AE230">
        <v>10257301</v>
      </c>
      <c r="AF230">
        <v>204266</v>
      </c>
      <c r="AH230" t="s">
        <v>50</v>
      </c>
      <c r="AI230" t="s">
        <v>50</v>
      </c>
      <c r="AJ230" t="s">
        <v>51</v>
      </c>
      <c r="AK230" t="s">
        <v>50</v>
      </c>
      <c r="AM230" t="s">
        <v>49</v>
      </c>
      <c r="AN230" t="s">
        <v>1432</v>
      </c>
    </row>
    <row r="231" spans="1:40" x14ac:dyDescent="0.2">
      <c r="A231">
        <v>3400412</v>
      </c>
      <c r="B231" t="s">
        <v>1433</v>
      </c>
      <c r="C231" t="str">
        <f>"9781587652332"</f>
        <v>9781587652332</v>
      </c>
      <c r="D231" t="str">
        <f>"9781587653124"</f>
        <v>9781587653124</v>
      </c>
      <c r="E231" t="s">
        <v>1434</v>
      </c>
      <c r="F231" t="s">
        <v>1435</v>
      </c>
      <c r="G231" s="1">
        <v>39436</v>
      </c>
      <c r="H231" s="1">
        <v>39553</v>
      </c>
      <c r="I231" t="s">
        <v>43</v>
      </c>
      <c r="J231" t="s">
        <v>1436</v>
      </c>
      <c r="L231" t="s">
        <v>1437</v>
      </c>
      <c r="M231" t="s">
        <v>91</v>
      </c>
      <c r="N231" t="s">
        <v>1438</v>
      </c>
      <c r="O231" t="s">
        <v>1439</v>
      </c>
      <c r="P231" t="s">
        <v>1440</v>
      </c>
      <c r="Q231" t="s">
        <v>48</v>
      </c>
      <c r="R231" t="s">
        <v>49</v>
      </c>
      <c r="S231" t="s">
        <v>50</v>
      </c>
      <c r="T231" t="s">
        <v>50</v>
      </c>
      <c r="U231" t="s">
        <v>49</v>
      </c>
      <c r="V231" t="s">
        <v>49</v>
      </c>
      <c r="W231" t="s">
        <v>50</v>
      </c>
      <c r="X231" t="s">
        <v>50</v>
      </c>
      <c r="Y231" t="s">
        <v>50</v>
      </c>
      <c r="Z231">
        <v>70</v>
      </c>
      <c r="AA231">
        <v>87.5</v>
      </c>
      <c r="AB231">
        <v>70</v>
      </c>
      <c r="AC231">
        <v>105</v>
      </c>
      <c r="AD231" t="s">
        <v>49</v>
      </c>
      <c r="AE231">
        <v>10214282</v>
      </c>
      <c r="AF231">
        <v>97059</v>
      </c>
      <c r="AH231" t="s">
        <v>50</v>
      </c>
      <c r="AI231" t="s">
        <v>50</v>
      </c>
      <c r="AJ231" t="s">
        <v>51</v>
      </c>
      <c r="AK231" t="s">
        <v>50</v>
      </c>
      <c r="AM231" t="s">
        <v>49</v>
      </c>
      <c r="AN231" t="s">
        <v>1441</v>
      </c>
    </row>
    <row r="232" spans="1:40" x14ac:dyDescent="0.2">
      <c r="A232">
        <v>3400416</v>
      </c>
      <c r="B232" t="s">
        <v>1442</v>
      </c>
      <c r="C232" t="str">
        <f>"9781587654541"</f>
        <v>9781587654541</v>
      </c>
      <c r="D232" t="str">
        <f>"9781587654558"</f>
        <v>9781587654558</v>
      </c>
      <c r="E232" t="s">
        <v>1435</v>
      </c>
      <c r="F232" t="s">
        <v>1435</v>
      </c>
      <c r="G232" s="1">
        <v>39661</v>
      </c>
      <c r="H232" s="1">
        <v>39771</v>
      </c>
      <c r="I232" t="s">
        <v>43</v>
      </c>
      <c r="L232" t="s">
        <v>1443</v>
      </c>
      <c r="M232" t="s">
        <v>234</v>
      </c>
      <c r="N232" t="s">
        <v>1444</v>
      </c>
      <c r="O232">
        <v>364.10922729999999</v>
      </c>
      <c r="P232" t="s">
        <v>1445</v>
      </c>
      <c r="Q232" t="s">
        <v>48</v>
      </c>
      <c r="R232" t="s">
        <v>50</v>
      </c>
      <c r="S232" t="s">
        <v>50</v>
      </c>
      <c r="T232" t="s">
        <v>50</v>
      </c>
      <c r="U232" t="s">
        <v>49</v>
      </c>
      <c r="V232" t="s">
        <v>49</v>
      </c>
      <c r="W232" t="s">
        <v>50</v>
      </c>
      <c r="X232" t="s">
        <v>50</v>
      </c>
      <c r="Y232" t="s">
        <v>50</v>
      </c>
      <c r="AB232">
        <v>39.950000000000003</v>
      </c>
      <c r="AD232" t="s">
        <v>49</v>
      </c>
      <c r="AE232">
        <v>10251825</v>
      </c>
      <c r="AF232">
        <v>177046</v>
      </c>
      <c r="AH232" t="s">
        <v>50</v>
      </c>
      <c r="AI232" t="s">
        <v>50</v>
      </c>
      <c r="AJ232" t="s">
        <v>51</v>
      </c>
      <c r="AK232" t="s">
        <v>50</v>
      </c>
      <c r="AM232" t="s">
        <v>49</v>
      </c>
      <c r="AN232" t="s">
        <v>1446</v>
      </c>
    </row>
    <row r="233" spans="1:40" x14ac:dyDescent="0.2">
      <c r="A233">
        <v>3400417</v>
      </c>
      <c r="B233" t="s">
        <v>1447</v>
      </c>
      <c r="C233" t="str">
        <f>"9781587654602"</f>
        <v>9781587654602</v>
      </c>
      <c r="D233" t="str">
        <f>"9781587654619"</f>
        <v>9781587654619</v>
      </c>
      <c r="E233" t="s">
        <v>1435</v>
      </c>
      <c r="F233" t="s">
        <v>1435</v>
      </c>
      <c r="G233" s="1">
        <v>39661</v>
      </c>
      <c r="H233" s="1">
        <v>39771</v>
      </c>
      <c r="I233" t="s">
        <v>43</v>
      </c>
      <c r="L233" t="s">
        <v>1443</v>
      </c>
      <c r="M233" t="s">
        <v>91</v>
      </c>
      <c r="N233" t="s">
        <v>1448</v>
      </c>
      <c r="O233">
        <v>920.02</v>
      </c>
      <c r="P233" t="s">
        <v>1449</v>
      </c>
      <c r="Q233" t="s">
        <v>48</v>
      </c>
      <c r="R233" t="s">
        <v>50</v>
      </c>
      <c r="S233" t="s">
        <v>50</v>
      </c>
      <c r="T233" t="s">
        <v>50</v>
      </c>
      <c r="U233" t="s">
        <v>49</v>
      </c>
      <c r="V233" t="s">
        <v>49</v>
      </c>
      <c r="W233" t="s">
        <v>50</v>
      </c>
      <c r="X233" t="s">
        <v>50</v>
      </c>
      <c r="Y233" t="s">
        <v>50</v>
      </c>
      <c r="AB233">
        <v>72</v>
      </c>
      <c r="AD233" t="s">
        <v>49</v>
      </c>
      <c r="AE233">
        <v>10251833</v>
      </c>
      <c r="AF233">
        <v>177047</v>
      </c>
      <c r="AH233" t="s">
        <v>50</v>
      </c>
      <c r="AI233" t="s">
        <v>50</v>
      </c>
      <c r="AJ233" t="s">
        <v>51</v>
      </c>
      <c r="AK233" t="s">
        <v>50</v>
      </c>
      <c r="AM233" t="s">
        <v>49</v>
      </c>
      <c r="AN233" t="s">
        <v>1450</v>
      </c>
    </row>
    <row r="234" spans="1:40" x14ac:dyDescent="0.2">
      <c r="A234">
        <v>3416294</v>
      </c>
      <c r="B234" t="s">
        <v>1451</v>
      </c>
      <c r="C234" t="str">
        <f>"9781904380467"</f>
        <v>9781904380467</v>
      </c>
      <c r="D234" t="str">
        <f>"9781906534752"</f>
        <v>9781906534752</v>
      </c>
      <c r="E234" t="s">
        <v>1452</v>
      </c>
      <c r="F234" t="s">
        <v>1452</v>
      </c>
      <c r="G234" s="1">
        <v>39862</v>
      </c>
      <c r="H234" s="1">
        <v>41404</v>
      </c>
      <c r="I234" t="s">
        <v>43</v>
      </c>
      <c r="J234">
        <v>1</v>
      </c>
      <c r="K234" t="s">
        <v>1453</v>
      </c>
      <c r="L234" t="s">
        <v>1454</v>
      </c>
      <c r="M234" t="s">
        <v>234</v>
      </c>
      <c r="N234" t="s">
        <v>1455</v>
      </c>
      <c r="O234">
        <v>363.20940999999999</v>
      </c>
      <c r="P234" t="s">
        <v>1456</v>
      </c>
      <c r="Q234" t="s">
        <v>48</v>
      </c>
      <c r="R234" t="s">
        <v>49</v>
      </c>
      <c r="S234" t="s">
        <v>50</v>
      </c>
      <c r="T234" t="s">
        <v>50</v>
      </c>
      <c r="U234" t="s">
        <v>49</v>
      </c>
      <c r="V234" t="s">
        <v>49</v>
      </c>
      <c r="W234" t="s">
        <v>50</v>
      </c>
      <c r="X234" t="s">
        <v>49</v>
      </c>
      <c r="Y234" t="s">
        <v>50</v>
      </c>
      <c r="Z234">
        <v>39.950000000000003</v>
      </c>
      <c r="AA234">
        <v>49.94</v>
      </c>
      <c r="AB234">
        <v>39.950000000000003</v>
      </c>
      <c r="AC234">
        <v>59.92</v>
      </c>
      <c r="AD234" t="s">
        <v>49</v>
      </c>
      <c r="AE234">
        <v>10696142</v>
      </c>
      <c r="AF234">
        <v>199361</v>
      </c>
      <c r="AH234" t="s">
        <v>49</v>
      </c>
      <c r="AI234" t="s">
        <v>50</v>
      </c>
      <c r="AJ234" t="s">
        <v>51</v>
      </c>
      <c r="AK234" t="s">
        <v>50</v>
      </c>
      <c r="AM234" t="s">
        <v>49</v>
      </c>
      <c r="AN234" t="s">
        <v>1457</v>
      </c>
    </row>
    <row r="235" spans="1:40" x14ac:dyDescent="0.2">
      <c r="A235">
        <v>3419857</v>
      </c>
      <c r="B235" t="s">
        <v>1458</v>
      </c>
      <c r="C235" t="str">
        <f>"9780300097436"</f>
        <v>9780300097436</v>
      </c>
      <c r="D235" t="str">
        <f>"9780300133561"</f>
        <v>9780300133561</v>
      </c>
      <c r="E235" t="s">
        <v>1459</v>
      </c>
      <c r="F235" t="s">
        <v>1459</v>
      </c>
      <c r="G235" s="1">
        <v>38453</v>
      </c>
      <c r="H235" s="1">
        <v>39189</v>
      </c>
      <c r="I235" t="s">
        <v>43</v>
      </c>
      <c r="J235">
        <v>2</v>
      </c>
      <c r="L235" t="s">
        <v>1460</v>
      </c>
      <c r="M235" t="s">
        <v>1461</v>
      </c>
      <c r="N235" t="s">
        <v>1462</v>
      </c>
      <c r="O235">
        <v>821.91200000000003</v>
      </c>
      <c r="P235" t="s">
        <v>1463</v>
      </c>
      <c r="Q235" t="s">
        <v>48</v>
      </c>
      <c r="R235" t="s">
        <v>49</v>
      </c>
      <c r="S235" t="s">
        <v>50</v>
      </c>
      <c r="T235" t="s">
        <v>50</v>
      </c>
      <c r="U235" t="s">
        <v>49</v>
      </c>
      <c r="V235" t="s">
        <v>49</v>
      </c>
      <c r="W235" t="s">
        <v>50</v>
      </c>
      <c r="X235" t="s">
        <v>49</v>
      </c>
      <c r="Y235" t="s">
        <v>50</v>
      </c>
      <c r="AA235">
        <v>62.9</v>
      </c>
      <c r="AB235">
        <v>51.8</v>
      </c>
      <c r="AC235">
        <v>62.9</v>
      </c>
      <c r="AD235" t="s">
        <v>49</v>
      </c>
      <c r="AE235">
        <v>10167906</v>
      </c>
      <c r="AF235">
        <v>172269</v>
      </c>
      <c r="AH235" t="s">
        <v>49</v>
      </c>
      <c r="AI235" t="s">
        <v>50</v>
      </c>
      <c r="AJ235" t="s">
        <v>51</v>
      </c>
      <c r="AK235" t="s">
        <v>50</v>
      </c>
      <c r="AM235" t="s">
        <v>49</v>
      </c>
      <c r="AN235" t="s">
        <v>1464</v>
      </c>
    </row>
    <row r="236" spans="1:40" x14ac:dyDescent="0.2">
      <c r="A236">
        <v>3420248</v>
      </c>
      <c r="B236" t="s">
        <v>1465</v>
      </c>
      <c r="C236" t="str">
        <f>"9780300106534"</f>
        <v>9780300106534</v>
      </c>
      <c r="D236" t="str">
        <f>"9780300164824"</f>
        <v>9780300164824</v>
      </c>
      <c r="E236" t="s">
        <v>1459</v>
      </c>
      <c r="F236" t="s">
        <v>1459</v>
      </c>
      <c r="G236" s="1">
        <v>38419</v>
      </c>
      <c r="H236" s="1">
        <v>39378</v>
      </c>
      <c r="I236" t="s">
        <v>43</v>
      </c>
      <c r="K236" t="s">
        <v>1466</v>
      </c>
      <c r="L236" t="s">
        <v>1467</v>
      </c>
      <c r="M236" t="s">
        <v>1461</v>
      </c>
      <c r="N236" t="s">
        <v>1468</v>
      </c>
      <c r="O236">
        <v>822.33</v>
      </c>
      <c r="P236" t="s">
        <v>1469</v>
      </c>
      <c r="Q236" t="s">
        <v>48</v>
      </c>
      <c r="R236" t="s">
        <v>49</v>
      </c>
      <c r="S236" t="s">
        <v>50</v>
      </c>
      <c r="T236" t="s">
        <v>50</v>
      </c>
      <c r="U236" t="s">
        <v>49</v>
      </c>
      <c r="V236" t="s">
        <v>49</v>
      </c>
      <c r="W236" t="s">
        <v>50</v>
      </c>
      <c r="X236" t="s">
        <v>49</v>
      </c>
      <c r="Y236" t="s">
        <v>50</v>
      </c>
      <c r="AA236">
        <v>11.82</v>
      </c>
      <c r="AB236">
        <v>9.73</v>
      </c>
      <c r="AC236">
        <v>11.82</v>
      </c>
      <c r="AD236" t="s">
        <v>49</v>
      </c>
      <c r="AE236">
        <v>10190705</v>
      </c>
      <c r="AF236">
        <v>172895</v>
      </c>
      <c r="AH236" t="s">
        <v>49</v>
      </c>
      <c r="AI236" t="s">
        <v>50</v>
      </c>
      <c r="AJ236" t="s">
        <v>51</v>
      </c>
      <c r="AK236" t="s">
        <v>50</v>
      </c>
      <c r="AM236" t="s">
        <v>49</v>
      </c>
      <c r="AN236" t="s">
        <v>1470</v>
      </c>
    </row>
    <row r="237" spans="1:40" x14ac:dyDescent="0.2">
      <c r="A237">
        <v>3420255</v>
      </c>
      <c r="B237" t="s">
        <v>1471</v>
      </c>
      <c r="C237" t="str">
        <f>"9780300115642"</f>
        <v>9780300115642</v>
      </c>
      <c r="D237" t="str">
        <f>"9780300138252"</f>
        <v>9780300138252</v>
      </c>
      <c r="E237" t="s">
        <v>1459</v>
      </c>
      <c r="F237" t="s">
        <v>1459</v>
      </c>
      <c r="G237" s="1">
        <v>38987</v>
      </c>
      <c r="H237" s="1">
        <v>39378</v>
      </c>
      <c r="I237" t="s">
        <v>43</v>
      </c>
      <c r="K237" t="s">
        <v>1466</v>
      </c>
      <c r="L237" t="s">
        <v>1467</v>
      </c>
      <c r="M237" t="s">
        <v>1461</v>
      </c>
      <c r="N237" t="s">
        <v>1472</v>
      </c>
      <c r="O237" t="s">
        <v>1473</v>
      </c>
      <c r="P237" t="s">
        <v>1474</v>
      </c>
      <c r="Q237" t="s">
        <v>48</v>
      </c>
      <c r="R237" t="s">
        <v>49</v>
      </c>
      <c r="S237" t="s">
        <v>50</v>
      </c>
      <c r="T237" t="s">
        <v>50</v>
      </c>
      <c r="U237" t="s">
        <v>49</v>
      </c>
      <c r="V237" t="s">
        <v>49</v>
      </c>
      <c r="W237" t="s">
        <v>50</v>
      </c>
      <c r="X237" t="s">
        <v>49</v>
      </c>
      <c r="Y237" t="s">
        <v>50</v>
      </c>
      <c r="AA237">
        <v>11.82</v>
      </c>
      <c r="AB237">
        <v>9.73</v>
      </c>
      <c r="AC237">
        <v>11.82</v>
      </c>
      <c r="AD237" t="s">
        <v>49</v>
      </c>
      <c r="AE237">
        <v>10190712</v>
      </c>
      <c r="AF237">
        <v>172894</v>
      </c>
      <c r="AH237" t="s">
        <v>49</v>
      </c>
      <c r="AI237" t="s">
        <v>50</v>
      </c>
      <c r="AJ237" t="s">
        <v>51</v>
      </c>
      <c r="AK237" t="s">
        <v>50</v>
      </c>
      <c r="AM237" t="s">
        <v>49</v>
      </c>
      <c r="AN237" t="s">
        <v>1475</v>
      </c>
    </row>
    <row r="238" spans="1:40" x14ac:dyDescent="0.2">
      <c r="A238">
        <v>3420286</v>
      </c>
      <c r="B238" t="s">
        <v>1476</v>
      </c>
      <c r="C238" t="str">
        <f>"9780300108163"</f>
        <v>9780300108163</v>
      </c>
      <c r="D238" t="str">
        <f>"9780300138306"</f>
        <v>9780300138306</v>
      </c>
      <c r="E238" t="s">
        <v>1459</v>
      </c>
      <c r="F238" t="s">
        <v>1459</v>
      </c>
      <c r="G238" s="1">
        <v>38827</v>
      </c>
      <c r="H238" s="1">
        <v>39378</v>
      </c>
      <c r="I238" t="s">
        <v>43</v>
      </c>
      <c r="K238" t="s">
        <v>1466</v>
      </c>
      <c r="L238" t="s">
        <v>1467</v>
      </c>
      <c r="M238" t="s">
        <v>1461</v>
      </c>
      <c r="N238" t="s">
        <v>1477</v>
      </c>
      <c r="O238" t="s">
        <v>1473</v>
      </c>
      <c r="P238" t="s">
        <v>1478</v>
      </c>
      <c r="Q238" t="s">
        <v>48</v>
      </c>
      <c r="R238" t="s">
        <v>49</v>
      </c>
      <c r="S238" t="s">
        <v>50</v>
      </c>
      <c r="T238" t="s">
        <v>50</v>
      </c>
      <c r="U238" t="s">
        <v>49</v>
      </c>
      <c r="V238" t="s">
        <v>49</v>
      </c>
      <c r="W238" t="s">
        <v>50</v>
      </c>
      <c r="X238" t="s">
        <v>49</v>
      </c>
      <c r="Y238" t="s">
        <v>50</v>
      </c>
      <c r="AA238">
        <v>15.22</v>
      </c>
      <c r="AB238">
        <v>12.53</v>
      </c>
      <c r="AC238">
        <v>15.22</v>
      </c>
      <c r="AD238" t="s">
        <v>49</v>
      </c>
      <c r="AE238">
        <v>10190743</v>
      </c>
      <c r="AF238">
        <v>172899</v>
      </c>
      <c r="AH238" t="s">
        <v>49</v>
      </c>
      <c r="AI238" t="s">
        <v>50</v>
      </c>
      <c r="AJ238" t="s">
        <v>51</v>
      </c>
      <c r="AK238" t="s">
        <v>50</v>
      </c>
      <c r="AM238" t="s">
        <v>49</v>
      </c>
      <c r="AN238" t="s">
        <v>1479</v>
      </c>
    </row>
    <row r="239" spans="1:40" x14ac:dyDescent="0.2">
      <c r="A239">
        <v>3420316</v>
      </c>
      <c r="B239" t="s">
        <v>1480</v>
      </c>
      <c r="C239" t="str">
        <f>"9780300120622"</f>
        <v>9780300120622</v>
      </c>
      <c r="D239" t="str">
        <f>"9780300135091"</f>
        <v>9780300135091</v>
      </c>
      <c r="E239" t="s">
        <v>1459</v>
      </c>
      <c r="F239" t="s">
        <v>1459</v>
      </c>
      <c r="G239" s="1">
        <v>39008</v>
      </c>
      <c r="H239" s="1">
        <v>39539</v>
      </c>
      <c r="I239" t="s">
        <v>43</v>
      </c>
      <c r="L239" t="s">
        <v>1481</v>
      </c>
      <c r="M239" t="s">
        <v>220</v>
      </c>
      <c r="N239" t="s">
        <v>1482</v>
      </c>
      <c r="O239">
        <v>907.2</v>
      </c>
      <c r="P239" t="s">
        <v>1483</v>
      </c>
      <c r="Q239" t="s">
        <v>48</v>
      </c>
      <c r="R239" t="s">
        <v>49</v>
      </c>
      <c r="S239" t="s">
        <v>50</v>
      </c>
      <c r="T239" t="s">
        <v>50</v>
      </c>
      <c r="U239" t="s">
        <v>49</v>
      </c>
      <c r="V239" t="s">
        <v>49</v>
      </c>
      <c r="W239" t="s">
        <v>50</v>
      </c>
      <c r="X239" t="s">
        <v>49</v>
      </c>
      <c r="Y239" t="s">
        <v>50</v>
      </c>
      <c r="AA239">
        <v>85</v>
      </c>
      <c r="AB239">
        <v>70</v>
      </c>
      <c r="AC239">
        <v>85</v>
      </c>
      <c r="AD239" t="s">
        <v>49</v>
      </c>
      <c r="AE239">
        <v>10210199</v>
      </c>
      <c r="AF239">
        <v>173487</v>
      </c>
      <c r="AH239" t="s">
        <v>49</v>
      </c>
      <c r="AI239" t="s">
        <v>50</v>
      </c>
      <c r="AJ239" t="s">
        <v>51</v>
      </c>
      <c r="AK239" t="s">
        <v>50</v>
      </c>
      <c r="AM239" t="s">
        <v>49</v>
      </c>
      <c r="AN239" t="s">
        <v>1484</v>
      </c>
    </row>
    <row r="240" spans="1:40" x14ac:dyDescent="0.2">
      <c r="A240">
        <v>3420425</v>
      </c>
      <c r="B240" t="s">
        <v>1485</v>
      </c>
      <c r="C240" t="str">
        <f>"9780300110289"</f>
        <v>9780300110289</v>
      </c>
      <c r="D240" t="str">
        <f>"9780300142655"</f>
        <v>9780300142655</v>
      </c>
      <c r="E240" t="s">
        <v>1459</v>
      </c>
      <c r="F240" t="s">
        <v>1459</v>
      </c>
      <c r="G240" s="1">
        <v>39714</v>
      </c>
      <c r="H240" s="1">
        <v>40026</v>
      </c>
      <c r="I240" t="s">
        <v>43</v>
      </c>
      <c r="L240" t="s">
        <v>1486</v>
      </c>
      <c r="M240" t="s">
        <v>275</v>
      </c>
      <c r="N240" t="s">
        <v>1487</v>
      </c>
      <c r="O240" t="s">
        <v>222</v>
      </c>
      <c r="P240" t="s">
        <v>1488</v>
      </c>
      <c r="Q240" t="s">
        <v>48</v>
      </c>
      <c r="R240" t="s">
        <v>49</v>
      </c>
      <c r="S240" t="s">
        <v>50</v>
      </c>
      <c r="T240" t="s">
        <v>50</v>
      </c>
      <c r="U240" t="s">
        <v>49</v>
      </c>
      <c r="V240" t="s">
        <v>49</v>
      </c>
      <c r="W240" t="s">
        <v>50</v>
      </c>
      <c r="X240" t="s">
        <v>49</v>
      </c>
      <c r="Y240" t="s">
        <v>50</v>
      </c>
      <c r="AA240">
        <v>59.5</v>
      </c>
      <c r="AB240">
        <v>49</v>
      </c>
      <c r="AC240">
        <v>59.5</v>
      </c>
      <c r="AD240" t="s">
        <v>49</v>
      </c>
      <c r="AE240">
        <v>10315685</v>
      </c>
      <c r="AF240">
        <v>208847</v>
      </c>
      <c r="AH240" t="s">
        <v>49</v>
      </c>
      <c r="AI240" t="s">
        <v>50</v>
      </c>
      <c r="AJ240" t="s">
        <v>51</v>
      </c>
      <c r="AK240" t="s">
        <v>50</v>
      </c>
      <c r="AM240" t="s">
        <v>49</v>
      </c>
      <c r="AN240" t="s">
        <v>1489</v>
      </c>
    </row>
    <row r="241" spans="1:40" x14ac:dyDescent="0.2">
      <c r="A241">
        <v>3420432</v>
      </c>
      <c r="B241" t="s">
        <v>1490</v>
      </c>
      <c r="C241" t="str">
        <f>"9780300126594"</f>
        <v>9780300126594</v>
      </c>
      <c r="D241" t="str">
        <f>"9780300145199"</f>
        <v>9780300145199</v>
      </c>
      <c r="E241" t="s">
        <v>1459</v>
      </c>
      <c r="F241" t="s">
        <v>1459</v>
      </c>
      <c r="G241" s="1">
        <v>39566</v>
      </c>
      <c r="H241" s="1">
        <v>40026</v>
      </c>
      <c r="I241" t="s">
        <v>43</v>
      </c>
      <c r="L241" t="s">
        <v>1491</v>
      </c>
      <c r="M241" t="s">
        <v>275</v>
      </c>
      <c r="N241" t="s">
        <v>1492</v>
      </c>
      <c r="O241" t="s">
        <v>1493</v>
      </c>
      <c r="P241" t="s">
        <v>1494</v>
      </c>
      <c r="Q241" t="s">
        <v>48</v>
      </c>
      <c r="R241" t="s">
        <v>49</v>
      </c>
      <c r="S241" t="s">
        <v>50</v>
      </c>
      <c r="T241" t="s">
        <v>50</v>
      </c>
      <c r="U241" t="s">
        <v>49</v>
      </c>
      <c r="V241" t="s">
        <v>49</v>
      </c>
      <c r="W241" t="s">
        <v>50</v>
      </c>
      <c r="X241" t="s">
        <v>49</v>
      </c>
      <c r="Y241" t="s">
        <v>50</v>
      </c>
      <c r="AA241">
        <v>68</v>
      </c>
      <c r="AB241">
        <v>56</v>
      </c>
      <c r="AC241">
        <v>68</v>
      </c>
      <c r="AD241" t="s">
        <v>49</v>
      </c>
      <c r="AE241">
        <v>10315693</v>
      </c>
      <c r="AF241">
        <v>208945</v>
      </c>
      <c r="AH241" t="s">
        <v>49</v>
      </c>
      <c r="AI241" t="s">
        <v>50</v>
      </c>
      <c r="AJ241" t="s">
        <v>51</v>
      </c>
      <c r="AK241" t="s">
        <v>50</v>
      </c>
      <c r="AM241" t="s">
        <v>49</v>
      </c>
      <c r="AN241" t="s">
        <v>1495</v>
      </c>
    </row>
    <row r="242" spans="1:40" x14ac:dyDescent="0.2">
      <c r="A242">
        <v>3420441</v>
      </c>
      <c r="B242" t="s">
        <v>1496</v>
      </c>
      <c r="C242" t="str">
        <f>"9780300122794"</f>
        <v>9780300122794</v>
      </c>
      <c r="D242" t="str">
        <f>"9780300148183"</f>
        <v>9780300148183</v>
      </c>
      <c r="E242" t="s">
        <v>1459</v>
      </c>
      <c r="F242" t="s">
        <v>1459</v>
      </c>
      <c r="G242" s="1">
        <v>39685</v>
      </c>
      <c r="H242" s="1">
        <v>40026</v>
      </c>
      <c r="I242" t="s">
        <v>43</v>
      </c>
      <c r="L242" t="s">
        <v>1497</v>
      </c>
      <c r="M242" t="s">
        <v>45</v>
      </c>
      <c r="N242" t="s">
        <v>1498</v>
      </c>
      <c r="O242">
        <v>495.15071</v>
      </c>
      <c r="P242" t="s">
        <v>1499</v>
      </c>
      <c r="Q242" t="s">
        <v>48</v>
      </c>
      <c r="R242" t="s">
        <v>49</v>
      </c>
      <c r="S242" t="s">
        <v>50</v>
      </c>
      <c r="T242" t="s">
        <v>50</v>
      </c>
      <c r="U242" t="s">
        <v>49</v>
      </c>
      <c r="V242" t="s">
        <v>49</v>
      </c>
      <c r="W242" t="s">
        <v>50</v>
      </c>
      <c r="X242" t="s">
        <v>49</v>
      </c>
      <c r="Y242" t="s">
        <v>50</v>
      </c>
      <c r="AB242">
        <v>78.400000000000006</v>
      </c>
      <c r="AD242" t="s">
        <v>49</v>
      </c>
      <c r="AE242">
        <v>10315702</v>
      </c>
      <c r="AF242">
        <v>208883</v>
      </c>
      <c r="AH242" t="s">
        <v>49</v>
      </c>
      <c r="AI242" t="s">
        <v>50</v>
      </c>
      <c r="AJ242" t="s">
        <v>51</v>
      </c>
      <c r="AK242" t="s">
        <v>50</v>
      </c>
      <c r="AM242" t="s">
        <v>49</v>
      </c>
      <c r="AN242" t="s">
        <v>1500</v>
      </c>
    </row>
    <row r="243" spans="1:40" x14ac:dyDescent="0.2">
      <c r="A243">
        <v>3420444</v>
      </c>
      <c r="B243" t="s">
        <v>1501</v>
      </c>
      <c r="C243" t="str">
        <f>"9780300139051"</f>
        <v>9780300139051</v>
      </c>
      <c r="D243" t="str">
        <f>"9780300153286"</f>
        <v>9780300153286</v>
      </c>
      <c r="E243" t="s">
        <v>1459</v>
      </c>
      <c r="F243" t="s">
        <v>1459</v>
      </c>
      <c r="G243" s="1">
        <v>39847</v>
      </c>
      <c r="H243" s="1">
        <v>40026</v>
      </c>
      <c r="I243" t="s">
        <v>43</v>
      </c>
      <c r="K243" t="s">
        <v>1502</v>
      </c>
      <c r="L243" t="s">
        <v>1503</v>
      </c>
      <c r="M243" t="s">
        <v>91</v>
      </c>
      <c r="N243" t="s">
        <v>1504</v>
      </c>
      <c r="O243" t="s">
        <v>1505</v>
      </c>
      <c r="P243" t="s">
        <v>1506</v>
      </c>
      <c r="Q243" t="s">
        <v>48</v>
      </c>
      <c r="R243" t="s">
        <v>49</v>
      </c>
      <c r="S243" t="s">
        <v>50</v>
      </c>
      <c r="T243" t="s">
        <v>50</v>
      </c>
      <c r="U243" t="s">
        <v>49</v>
      </c>
      <c r="V243" t="s">
        <v>49</v>
      </c>
      <c r="W243" t="s">
        <v>50</v>
      </c>
      <c r="X243" t="s">
        <v>49</v>
      </c>
      <c r="Y243" t="s">
        <v>50</v>
      </c>
      <c r="AA243">
        <v>85</v>
      </c>
      <c r="AB243">
        <v>70</v>
      </c>
      <c r="AC243">
        <v>85</v>
      </c>
      <c r="AD243" t="s">
        <v>49</v>
      </c>
      <c r="AE243">
        <v>10315705</v>
      </c>
      <c r="AF243">
        <v>208964</v>
      </c>
      <c r="AH243" t="s">
        <v>49</v>
      </c>
      <c r="AI243" t="s">
        <v>50</v>
      </c>
      <c r="AJ243" t="s">
        <v>51</v>
      </c>
      <c r="AK243" t="s">
        <v>50</v>
      </c>
      <c r="AM243" t="s">
        <v>49</v>
      </c>
      <c r="AN243" t="s">
        <v>1507</v>
      </c>
    </row>
    <row r="244" spans="1:40" x14ac:dyDescent="0.2">
      <c r="A244">
        <v>3420545</v>
      </c>
      <c r="B244" t="s">
        <v>1508</v>
      </c>
      <c r="C244" t="str">
        <f>"9780300117554"</f>
        <v>9780300117554</v>
      </c>
      <c r="D244" t="str">
        <f>"9780300145083"</f>
        <v>9780300145083</v>
      </c>
      <c r="E244" t="s">
        <v>1459</v>
      </c>
      <c r="F244" t="s">
        <v>1459</v>
      </c>
      <c r="G244" s="1">
        <v>39560</v>
      </c>
      <c r="H244" s="1">
        <v>40159</v>
      </c>
      <c r="I244" t="s">
        <v>43</v>
      </c>
      <c r="K244" t="s">
        <v>1509</v>
      </c>
      <c r="L244" t="s">
        <v>1510</v>
      </c>
      <c r="M244" t="s">
        <v>1511</v>
      </c>
      <c r="N244" t="s">
        <v>1512</v>
      </c>
      <c r="O244" t="s">
        <v>1513</v>
      </c>
      <c r="P244" t="s">
        <v>1514</v>
      </c>
      <c r="Q244" t="s">
        <v>48</v>
      </c>
      <c r="R244" t="s">
        <v>49</v>
      </c>
      <c r="S244" t="s">
        <v>50</v>
      </c>
      <c r="T244" t="s">
        <v>50</v>
      </c>
      <c r="U244" t="s">
        <v>49</v>
      </c>
      <c r="V244" t="s">
        <v>49</v>
      </c>
      <c r="W244" t="s">
        <v>50</v>
      </c>
      <c r="X244" t="s">
        <v>49</v>
      </c>
      <c r="Y244" t="s">
        <v>50</v>
      </c>
      <c r="AA244">
        <v>68</v>
      </c>
      <c r="AB244">
        <v>56</v>
      </c>
      <c r="AC244">
        <v>68</v>
      </c>
      <c r="AD244" t="s">
        <v>49</v>
      </c>
      <c r="AE244">
        <v>10348440</v>
      </c>
      <c r="AF244">
        <v>208862</v>
      </c>
      <c r="AH244" t="s">
        <v>49</v>
      </c>
      <c r="AI244" t="s">
        <v>50</v>
      </c>
      <c r="AJ244" t="s">
        <v>51</v>
      </c>
      <c r="AK244" t="s">
        <v>50</v>
      </c>
      <c r="AM244" t="s">
        <v>49</v>
      </c>
      <c r="AN244" t="s">
        <v>1515</v>
      </c>
    </row>
    <row r="245" spans="1:40" x14ac:dyDescent="0.2">
      <c r="A245">
        <v>3420607</v>
      </c>
      <c r="B245" t="s">
        <v>1516</v>
      </c>
      <c r="C245" t="str">
        <f>"9780300125634"</f>
        <v>9780300125634</v>
      </c>
      <c r="D245" t="str">
        <f>"9780300142501"</f>
        <v>9780300142501</v>
      </c>
      <c r="E245" t="s">
        <v>1459</v>
      </c>
      <c r="F245" t="s">
        <v>1459</v>
      </c>
      <c r="G245" s="1">
        <v>39924</v>
      </c>
      <c r="H245" s="1">
        <v>40159</v>
      </c>
      <c r="I245" t="s">
        <v>43</v>
      </c>
      <c r="L245" t="s">
        <v>1517</v>
      </c>
      <c r="M245" t="s">
        <v>880</v>
      </c>
      <c r="N245" t="s">
        <v>1518</v>
      </c>
      <c r="O245">
        <v>323.11970000000002</v>
      </c>
      <c r="P245" t="s">
        <v>1519</v>
      </c>
      <c r="Q245" t="s">
        <v>48</v>
      </c>
      <c r="R245" t="s">
        <v>49</v>
      </c>
      <c r="S245" t="s">
        <v>50</v>
      </c>
      <c r="T245" t="s">
        <v>50</v>
      </c>
      <c r="U245" t="s">
        <v>49</v>
      </c>
      <c r="V245" t="s">
        <v>49</v>
      </c>
      <c r="W245" t="s">
        <v>50</v>
      </c>
      <c r="X245" t="s">
        <v>49</v>
      </c>
      <c r="Y245" t="s">
        <v>50</v>
      </c>
      <c r="AA245">
        <v>44.2</v>
      </c>
      <c r="AB245">
        <v>36.4</v>
      </c>
      <c r="AC245">
        <v>44.2</v>
      </c>
      <c r="AD245" t="s">
        <v>49</v>
      </c>
      <c r="AE245">
        <v>10348504</v>
      </c>
      <c r="AF245">
        <v>208934</v>
      </c>
      <c r="AH245" t="s">
        <v>49</v>
      </c>
      <c r="AI245" t="s">
        <v>50</v>
      </c>
      <c r="AJ245" t="s">
        <v>51</v>
      </c>
      <c r="AK245" t="s">
        <v>50</v>
      </c>
      <c r="AM245" t="s">
        <v>49</v>
      </c>
      <c r="AN245" t="s">
        <v>1520</v>
      </c>
    </row>
    <row r="246" spans="1:40" x14ac:dyDescent="0.2">
      <c r="A246">
        <v>3420954</v>
      </c>
      <c r="B246" t="s">
        <v>1521</v>
      </c>
      <c r="C246" t="str">
        <f>"9780300151022"</f>
        <v>9780300151022</v>
      </c>
      <c r="D246" t="str">
        <f>"9780300156652"</f>
        <v>9780300156652</v>
      </c>
      <c r="E246" t="s">
        <v>1459</v>
      </c>
      <c r="F246" t="s">
        <v>1459</v>
      </c>
      <c r="G246" s="1">
        <v>39924</v>
      </c>
      <c r="H246" s="1">
        <v>41107</v>
      </c>
      <c r="I246" t="s">
        <v>43</v>
      </c>
      <c r="K246" t="s">
        <v>1522</v>
      </c>
      <c r="L246" t="s">
        <v>1523</v>
      </c>
      <c r="M246" t="s">
        <v>682</v>
      </c>
      <c r="N246" t="s">
        <v>1524</v>
      </c>
      <c r="O246" t="s">
        <v>1525</v>
      </c>
      <c r="P246" t="s">
        <v>1526</v>
      </c>
      <c r="Q246" t="s">
        <v>48</v>
      </c>
      <c r="R246" t="s">
        <v>49</v>
      </c>
      <c r="S246" t="s">
        <v>50</v>
      </c>
      <c r="T246" t="s">
        <v>50</v>
      </c>
      <c r="U246" t="s">
        <v>49</v>
      </c>
      <c r="V246" t="s">
        <v>49</v>
      </c>
      <c r="W246" t="s">
        <v>50</v>
      </c>
      <c r="X246" t="s">
        <v>49</v>
      </c>
      <c r="Y246" t="s">
        <v>50</v>
      </c>
      <c r="AA246">
        <v>68</v>
      </c>
      <c r="AB246">
        <v>56</v>
      </c>
      <c r="AC246">
        <v>68</v>
      </c>
      <c r="AD246" t="s">
        <v>49</v>
      </c>
      <c r="AE246">
        <v>10579353</v>
      </c>
      <c r="AF246">
        <v>208972</v>
      </c>
      <c r="AH246" t="s">
        <v>49</v>
      </c>
      <c r="AI246" t="s">
        <v>50</v>
      </c>
      <c r="AJ246" t="s">
        <v>51</v>
      </c>
      <c r="AK246" t="s">
        <v>50</v>
      </c>
      <c r="AM246" t="s">
        <v>49</v>
      </c>
      <c r="AN246" t="s">
        <v>1527</v>
      </c>
    </row>
    <row r="247" spans="1:40" x14ac:dyDescent="0.2">
      <c r="A247">
        <v>4458679</v>
      </c>
      <c r="B247" t="s">
        <v>1528</v>
      </c>
      <c r="C247" t="str">
        <f>"9781587654275"</f>
        <v>9781587654275</v>
      </c>
      <c r="D247" t="str">
        <f>"9781587654497"</f>
        <v>9781587654497</v>
      </c>
      <c r="E247" t="s">
        <v>1435</v>
      </c>
      <c r="F247" t="s">
        <v>1435</v>
      </c>
      <c r="G247" s="1">
        <v>39630</v>
      </c>
      <c r="H247" s="1">
        <v>42454</v>
      </c>
      <c r="I247" t="s">
        <v>43</v>
      </c>
      <c r="L247" t="s">
        <v>1529</v>
      </c>
      <c r="M247" t="s">
        <v>234</v>
      </c>
      <c r="N247" t="s">
        <v>1530</v>
      </c>
      <c r="O247">
        <v>364</v>
      </c>
      <c r="P247" t="s">
        <v>1531</v>
      </c>
      <c r="Q247" t="s">
        <v>48</v>
      </c>
      <c r="R247" t="s">
        <v>49</v>
      </c>
      <c r="S247" t="s">
        <v>50</v>
      </c>
      <c r="T247" t="s">
        <v>50</v>
      </c>
      <c r="U247" t="s">
        <v>49</v>
      </c>
      <c r="V247" t="s">
        <v>49</v>
      </c>
      <c r="W247" t="s">
        <v>50</v>
      </c>
      <c r="X247" t="s">
        <v>50</v>
      </c>
      <c r="Y247" t="s">
        <v>50</v>
      </c>
      <c r="Z247">
        <v>217</v>
      </c>
      <c r="AA247">
        <v>271.25</v>
      </c>
      <c r="AB247">
        <v>217</v>
      </c>
      <c r="AC247">
        <v>325.5</v>
      </c>
      <c r="AD247" t="s">
        <v>49</v>
      </c>
      <c r="AE247">
        <v>11178634</v>
      </c>
      <c r="AF247">
        <v>177045</v>
      </c>
      <c r="AH247" t="s">
        <v>50</v>
      </c>
      <c r="AI247" t="s">
        <v>50</v>
      </c>
      <c r="AJ247" t="s">
        <v>51</v>
      </c>
      <c r="AK247" t="s">
        <v>50</v>
      </c>
      <c r="AM247" t="s">
        <v>49</v>
      </c>
      <c r="AN247" t="s">
        <v>1532</v>
      </c>
    </row>
    <row r="248" spans="1:40" x14ac:dyDescent="0.2">
      <c r="A248">
        <v>4458693</v>
      </c>
      <c r="B248" t="s">
        <v>1533</v>
      </c>
      <c r="C248" t="str">
        <f>"9781587655005"</f>
        <v>9781587655005</v>
      </c>
      <c r="D248" t="str">
        <f>"9781587655043"</f>
        <v>9781587655043</v>
      </c>
      <c r="E248" t="s">
        <v>1435</v>
      </c>
      <c r="F248" t="s">
        <v>1435</v>
      </c>
      <c r="G248" s="1">
        <v>39845</v>
      </c>
      <c r="H248" s="1">
        <v>42454</v>
      </c>
      <c r="I248" t="s">
        <v>43</v>
      </c>
      <c r="L248" t="s">
        <v>1534</v>
      </c>
      <c r="M248" t="s">
        <v>91</v>
      </c>
      <c r="N248" t="s">
        <v>1535</v>
      </c>
      <c r="O248">
        <v>973.92</v>
      </c>
      <c r="P248" t="s">
        <v>1536</v>
      </c>
      <c r="Q248" t="s">
        <v>48</v>
      </c>
      <c r="R248" t="s">
        <v>49</v>
      </c>
      <c r="S248" t="s">
        <v>50</v>
      </c>
      <c r="T248" t="s">
        <v>50</v>
      </c>
      <c r="U248" t="s">
        <v>49</v>
      </c>
      <c r="V248" t="s">
        <v>49</v>
      </c>
      <c r="W248" t="s">
        <v>50</v>
      </c>
      <c r="X248" t="s">
        <v>50</v>
      </c>
      <c r="Y248" t="s">
        <v>50</v>
      </c>
      <c r="Z248">
        <v>364</v>
      </c>
      <c r="AA248">
        <v>455</v>
      </c>
      <c r="AB248">
        <v>364</v>
      </c>
      <c r="AC248">
        <v>546</v>
      </c>
      <c r="AD248" t="s">
        <v>49</v>
      </c>
      <c r="AE248">
        <v>11178648</v>
      </c>
      <c r="AF248">
        <v>217202</v>
      </c>
      <c r="AH248" t="s">
        <v>50</v>
      </c>
      <c r="AI248" t="s">
        <v>50</v>
      </c>
      <c r="AJ248" t="s">
        <v>51</v>
      </c>
      <c r="AK248" t="s">
        <v>50</v>
      </c>
      <c r="AM248" t="s">
        <v>49</v>
      </c>
      <c r="AN248" t="s">
        <v>1537</v>
      </c>
    </row>
    <row r="249" spans="1:40" x14ac:dyDescent="0.2">
      <c r="A249">
        <v>4643390</v>
      </c>
      <c r="B249" t="s">
        <v>1538</v>
      </c>
      <c r="C249" t="str">
        <f>"9781843921837"</f>
        <v>9781843921837</v>
      </c>
      <c r="D249" t="str">
        <f>"9781843925880"</f>
        <v>9781843925880</v>
      </c>
      <c r="E249" t="s">
        <v>41</v>
      </c>
      <c r="F249" t="s">
        <v>42</v>
      </c>
      <c r="G249" s="1">
        <v>42488</v>
      </c>
      <c r="H249" s="1">
        <v>1</v>
      </c>
      <c r="I249" t="s">
        <v>43</v>
      </c>
      <c r="J249">
        <v>2</v>
      </c>
      <c r="L249" t="s">
        <v>1539</v>
      </c>
      <c r="M249" t="s">
        <v>234</v>
      </c>
      <c r="N249" t="s">
        <v>1540</v>
      </c>
      <c r="O249">
        <v>364.94099999999901</v>
      </c>
      <c r="P249" t="s">
        <v>1541</v>
      </c>
      <c r="Q249" t="s">
        <v>48</v>
      </c>
      <c r="R249" t="s">
        <v>50</v>
      </c>
      <c r="S249" t="s">
        <v>50</v>
      </c>
      <c r="T249" t="s">
        <v>50</v>
      </c>
      <c r="U249" t="s">
        <v>49</v>
      </c>
      <c r="V249" t="s">
        <v>49</v>
      </c>
      <c r="W249" t="s">
        <v>50</v>
      </c>
      <c r="X249" t="s">
        <v>49</v>
      </c>
      <c r="Y249" t="s">
        <v>50</v>
      </c>
      <c r="AA249">
        <v>130</v>
      </c>
      <c r="AB249">
        <v>104</v>
      </c>
      <c r="AD249" t="s">
        <v>49</v>
      </c>
      <c r="AE249">
        <v>10306112</v>
      </c>
      <c r="AF249">
        <v>207755</v>
      </c>
      <c r="AH249" t="s">
        <v>50</v>
      </c>
      <c r="AI249" t="s">
        <v>50</v>
      </c>
      <c r="AJ249" t="s">
        <v>51</v>
      </c>
      <c r="AK249" t="s">
        <v>50</v>
      </c>
      <c r="AM249" t="s">
        <v>49</v>
      </c>
      <c r="AN249" t="s">
        <v>1542</v>
      </c>
    </row>
    <row r="250" spans="1:40" x14ac:dyDescent="0.2">
      <c r="A250">
        <v>4654942</v>
      </c>
      <c r="B250" t="s">
        <v>1543</v>
      </c>
      <c r="C250" t="str">
        <f>"9780071364553"</f>
        <v>9780071364553</v>
      </c>
      <c r="D250" t="str">
        <f>"9780071415408"</f>
        <v>9780071415408</v>
      </c>
      <c r="E250" t="s">
        <v>1544</v>
      </c>
      <c r="F250" t="s">
        <v>1545</v>
      </c>
      <c r="G250" s="1">
        <v>37151</v>
      </c>
      <c r="H250" s="1">
        <v>1</v>
      </c>
      <c r="I250" t="s">
        <v>43</v>
      </c>
      <c r="L250" t="s">
        <v>1546</v>
      </c>
      <c r="M250" t="s">
        <v>45</v>
      </c>
      <c r="N250" t="s">
        <v>1547</v>
      </c>
      <c r="O250" t="s">
        <v>1548</v>
      </c>
      <c r="P250" t="s">
        <v>1549</v>
      </c>
      <c r="Q250" t="s">
        <v>48</v>
      </c>
      <c r="R250" t="s">
        <v>50</v>
      </c>
      <c r="S250" t="s">
        <v>50</v>
      </c>
      <c r="T250" t="s">
        <v>50</v>
      </c>
      <c r="U250" t="s">
        <v>50</v>
      </c>
      <c r="V250" t="s">
        <v>49</v>
      </c>
      <c r="W250" t="s">
        <v>50</v>
      </c>
      <c r="X250" t="s">
        <v>50</v>
      </c>
      <c r="Y250" t="s">
        <v>50</v>
      </c>
      <c r="AD250" t="s">
        <v>49</v>
      </c>
      <c r="AE250">
        <v>10041418</v>
      </c>
      <c r="AF250">
        <v>30011</v>
      </c>
      <c r="AH250" t="s">
        <v>50</v>
      </c>
      <c r="AI250" t="s">
        <v>50</v>
      </c>
      <c r="AJ250" t="s">
        <v>51</v>
      </c>
      <c r="AK250" t="s">
        <v>50</v>
      </c>
      <c r="AM250" t="s">
        <v>49</v>
      </c>
      <c r="AN250" t="s">
        <v>1550</v>
      </c>
    </row>
    <row r="251" spans="1:40" x14ac:dyDescent="0.2">
      <c r="A251">
        <v>4655190</v>
      </c>
      <c r="B251" t="s">
        <v>1551</v>
      </c>
      <c r="C251" t="str">
        <f>"9780071414234"</f>
        <v>9780071414234</v>
      </c>
      <c r="D251" t="str">
        <f>"9780071428644"</f>
        <v>9780071428644</v>
      </c>
      <c r="E251" t="s">
        <v>1544</v>
      </c>
      <c r="F251" t="s">
        <v>1552</v>
      </c>
      <c r="G251" s="1">
        <v>36526</v>
      </c>
      <c r="H251" s="1">
        <v>1</v>
      </c>
      <c r="I251" t="s">
        <v>43</v>
      </c>
      <c r="L251" t="s">
        <v>1553</v>
      </c>
      <c r="M251" t="s">
        <v>1554</v>
      </c>
      <c r="N251" t="s">
        <v>1555</v>
      </c>
      <c r="O251" t="s">
        <v>981</v>
      </c>
      <c r="P251" t="s">
        <v>1556</v>
      </c>
      <c r="Q251" t="s">
        <v>48</v>
      </c>
      <c r="R251" t="s">
        <v>50</v>
      </c>
      <c r="S251" t="s">
        <v>50</v>
      </c>
      <c r="T251" t="s">
        <v>50</v>
      </c>
      <c r="U251" t="s">
        <v>50</v>
      </c>
      <c r="V251" t="s">
        <v>49</v>
      </c>
      <c r="W251" t="s">
        <v>50</v>
      </c>
      <c r="X251" t="s">
        <v>50</v>
      </c>
      <c r="Y251" t="s">
        <v>50</v>
      </c>
      <c r="AD251" t="s">
        <v>49</v>
      </c>
      <c r="AE251">
        <v>10049077</v>
      </c>
      <c r="AF251">
        <v>22936</v>
      </c>
      <c r="AH251" t="s">
        <v>50</v>
      </c>
      <c r="AI251" t="s">
        <v>50</v>
      </c>
      <c r="AJ251" t="s">
        <v>51</v>
      </c>
      <c r="AK251" t="s">
        <v>50</v>
      </c>
      <c r="AM251" t="s">
        <v>49</v>
      </c>
      <c r="AN251" t="s">
        <v>1557</v>
      </c>
    </row>
    <row r="252" spans="1:40" x14ac:dyDescent="0.2">
      <c r="A252">
        <v>4655198</v>
      </c>
      <c r="B252" t="s">
        <v>1558</v>
      </c>
      <c r="C252" t="str">
        <f>"9780071414227"</f>
        <v>9780071414227</v>
      </c>
      <c r="D252" t="str">
        <f>"9780071428637"</f>
        <v>9780071428637</v>
      </c>
      <c r="E252" t="s">
        <v>1544</v>
      </c>
      <c r="F252" t="s">
        <v>1552</v>
      </c>
      <c r="G252" s="1">
        <v>37865</v>
      </c>
      <c r="H252" s="1">
        <v>1</v>
      </c>
      <c r="I252" t="s">
        <v>43</v>
      </c>
      <c r="L252" t="s">
        <v>1553</v>
      </c>
      <c r="M252" t="s">
        <v>45</v>
      </c>
      <c r="N252" t="s">
        <v>1559</v>
      </c>
      <c r="O252" t="s">
        <v>976</v>
      </c>
      <c r="P252" t="s">
        <v>1560</v>
      </c>
      <c r="Q252" t="s">
        <v>48</v>
      </c>
      <c r="R252" t="s">
        <v>50</v>
      </c>
      <c r="S252" t="s">
        <v>50</v>
      </c>
      <c r="T252" t="s">
        <v>50</v>
      </c>
      <c r="U252" t="s">
        <v>50</v>
      </c>
      <c r="V252" t="s">
        <v>49</v>
      </c>
      <c r="W252" t="s">
        <v>50</v>
      </c>
      <c r="X252" t="s">
        <v>50</v>
      </c>
      <c r="Y252" t="s">
        <v>50</v>
      </c>
      <c r="AD252" t="s">
        <v>49</v>
      </c>
      <c r="AE252">
        <v>10049087</v>
      </c>
      <c r="AF252">
        <v>22935</v>
      </c>
      <c r="AH252" t="s">
        <v>50</v>
      </c>
      <c r="AI252" t="s">
        <v>50</v>
      </c>
      <c r="AJ252" t="s">
        <v>51</v>
      </c>
      <c r="AK252" t="s">
        <v>50</v>
      </c>
      <c r="AM252" t="s">
        <v>49</v>
      </c>
      <c r="AN252" t="s">
        <v>1561</v>
      </c>
    </row>
    <row r="253" spans="1:40" x14ac:dyDescent="0.2">
      <c r="A253">
        <v>4655275</v>
      </c>
      <c r="B253" t="s">
        <v>1562</v>
      </c>
      <c r="C253" t="str">
        <f>"9780071417570"</f>
        <v>9780071417570</v>
      </c>
      <c r="D253" t="str">
        <f>"9780071442565"</f>
        <v>9780071442565</v>
      </c>
      <c r="E253" t="s">
        <v>1544</v>
      </c>
      <c r="F253" t="s">
        <v>1563</v>
      </c>
      <c r="G253" s="1">
        <v>38068</v>
      </c>
      <c r="H253" s="1">
        <v>1</v>
      </c>
      <c r="I253" t="s">
        <v>43</v>
      </c>
      <c r="L253" t="s">
        <v>1564</v>
      </c>
      <c r="M253" t="s">
        <v>45</v>
      </c>
      <c r="N253" t="s">
        <v>1565</v>
      </c>
      <c r="O253" t="s">
        <v>1548</v>
      </c>
      <c r="P253" t="s">
        <v>1566</v>
      </c>
      <c r="Q253" t="s">
        <v>48</v>
      </c>
      <c r="R253" t="s">
        <v>50</v>
      </c>
      <c r="S253" t="s">
        <v>50</v>
      </c>
      <c r="T253" t="s">
        <v>50</v>
      </c>
      <c r="U253" t="s">
        <v>50</v>
      </c>
      <c r="V253" t="s">
        <v>49</v>
      </c>
      <c r="W253" t="s">
        <v>50</v>
      </c>
      <c r="X253" t="s">
        <v>50</v>
      </c>
      <c r="Y253" t="s">
        <v>50</v>
      </c>
      <c r="AD253" t="s">
        <v>49</v>
      </c>
      <c r="AE253">
        <v>10065216</v>
      </c>
      <c r="AF253">
        <v>30444</v>
      </c>
      <c r="AH253" t="s">
        <v>50</v>
      </c>
      <c r="AI253" t="s">
        <v>50</v>
      </c>
      <c r="AJ253" t="s">
        <v>51</v>
      </c>
      <c r="AK253" t="s">
        <v>50</v>
      </c>
      <c r="AM253" t="s">
        <v>49</v>
      </c>
      <c r="AN253" t="s">
        <v>1567</v>
      </c>
    </row>
    <row r="254" spans="1:40" x14ac:dyDescent="0.2">
      <c r="A254">
        <v>4655451</v>
      </c>
      <c r="B254" t="s">
        <v>1568</v>
      </c>
      <c r="C254" t="str">
        <f>"9780071447317"</f>
        <v>9780071447317</v>
      </c>
      <c r="D254" t="str">
        <f>"9780071465335"</f>
        <v>9780071465335</v>
      </c>
      <c r="E254" t="s">
        <v>1544</v>
      </c>
      <c r="F254" t="s">
        <v>1563</v>
      </c>
      <c r="G254" s="1">
        <v>38432</v>
      </c>
      <c r="H254" s="1">
        <v>1</v>
      </c>
      <c r="I254" t="s">
        <v>43</v>
      </c>
      <c r="L254" t="s">
        <v>1569</v>
      </c>
      <c r="M254" t="s">
        <v>1229</v>
      </c>
      <c r="N254" t="s">
        <v>1570</v>
      </c>
      <c r="O254" t="s">
        <v>1571</v>
      </c>
      <c r="P254" t="s">
        <v>1572</v>
      </c>
      <c r="Q254" t="s">
        <v>48</v>
      </c>
      <c r="R254" t="s">
        <v>50</v>
      </c>
      <c r="S254" t="s">
        <v>50</v>
      </c>
      <c r="T254" t="s">
        <v>50</v>
      </c>
      <c r="U254" t="s">
        <v>50</v>
      </c>
      <c r="V254" t="s">
        <v>49</v>
      </c>
      <c r="W254" t="s">
        <v>50</v>
      </c>
      <c r="X254" t="s">
        <v>50</v>
      </c>
      <c r="Y254" t="s">
        <v>50</v>
      </c>
      <c r="AD254" t="s">
        <v>49</v>
      </c>
      <c r="AE254">
        <v>10083677</v>
      </c>
      <c r="AF254">
        <v>72389</v>
      </c>
      <c r="AH254" t="s">
        <v>50</v>
      </c>
      <c r="AI254" t="s">
        <v>50</v>
      </c>
      <c r="AJ254" t="s">
        <v>51</v>
      </c>
      <c r="AK254" t="s">
        <v>50</v>
      </c>
      <c r="AM254" t="s">
        <v>49</v>
      </c>
      <c r="AN254" t="s">
        <v>1573</v>
      </c>
    </row>
    <row r="255" spans="1:40" x14ac:dyDescent="0.2">
      <c r="A255">
        <v>4655761</v>
      </c>
      <c r="B255" t="s">
        <v>1574</v>
      </c>
      <c r="C255" t="str">
        <f>"9780071426688"</f>
        <v>9780071426688</v>
      </c>
      <c r="D255" t="str">
        <f>"9780071490351"</f>
        <v>9780071490351</v>
      </c>
      <c r="E255" t="s">
        <v>1544</v>
      </c>
      <c r="F255" t="s">
        <v>1575</v>
      </c>
      <c r="G255" s="1">
        <v>38508</v>
      </c>
      <c r="H255" s="1">
        <v>1</v>
      </c>
      <c r="I255" t="s">
        <v>43</v>
      </c>
      <c r="L255" t="s">
        <v>1576</v>
      </c>
      <c r="M255" t="s">
        <v>58</v>
      </c>
      <c r="N255" t="s">
        <v>1577</v>
      </c>
      <c r="O255">
        <v>658.56200000000001</v>
      </c>
      <c r="P255" t="s">
        <v>1578</v>
      </c>
      <c r="Q255" t="s">
        <v>48</v>
      </c>
      <c r="R255" t="s">
        <v>50</v>
      </c>
      <c r="S255" t="s">
        <v>50</v>
      </c>
      <c r="T255" t="s">
        <v>50</v>
      </c>
      <c r="U255" t="s">
        <v>50</v>
      </c>
      <c r="V255" t="s">
        <v>49</v>
      </c>
      <c r="W255" t="s">
        <v>50</v>
      </c>
      <c r="X255" t="s">
        <v>50</v>
      </c>
      <c r="Y255" t="s">
        <v>50</v>
      </c>
      <c r="AD255" t="s">
        <v>49</v>
      </c>
      <c r="AE255">
        <v>10150063</v>
      </c>
      <c r="AF255">
        <v>64396</v>
      </c>
      <c r="AH255" t="s">
        <v>50</v>
      </c>
      <c r="AI255" t="s">
        <v>50</v>
      </c>
      <c r="AJ255" t="s">
        <v>51</v>
      </c>
      <c r="AK255" t="s">
        <v>50</v>
      </c>
      <c r="AM255" t="s">
        <v>49</v>
      </c>
      <c r="AN255" t="s">
        <v>1579</v>
      </c>
    </row>
    <row r="256" spans="1:40" x14ac:dyDescent="0.2">
      <c r="A256">
        <v>4656170</v>
      </c>
      <c r="B256" t="s">
        <v>1580</v>
      </c>
      <c r="C256" t="str">
        <f>"9780071462921"</f>
        <v>9780071462921</v>
      </c>
      <c r="D256" t="str">
        <f>"9780071491341"</f>
        <v>9780071491341</v>
      </c>
      <c r="E256" t="s">
        <v>1563</v>
      </c>
      <c r="F256" t="s">
        <v>1544</v>
      </c>
      <c r="G256" s="1">
        <v>38661</v>
      </c>
      <c r="H256" s="1">
        <v>1</v>
      </c>
      <c r="I256" t="s">
        <v>43</v>
      </c>
      <c r="K256" t="s">
        <v>1580</v>
      </c>
      <c r="L256" t="s">
        <v>1581</v>
      </c>
      <c r="M256" t="s">
        <v>45</v>
      </c>
      <c r="N256" t="s">
        <v>1582</v>
      </c>
      <c r="O256">
        <v>475.62</v>
      </c>
      <c r="P256" t="s">
        <v>1566</v>
      </c>
      <c r="Q256" t="s">
        <v>48</v>
      </c>
      <c r="R256" t="s">
        <v>50</v>
      </c>
      <c r="S256" t="s">
        <v>50</v>
      </c>
      <c r="T256" t="s">
        <v>50</v>
      </c>
      <c r="U256" t="s">
        <v>50</v>
      </c>
      <c r="V256" t="s">
        <v>49</v>
      </c>
      <c r="W256" t="s">
        <v>50</v>
      </c>
      <c r="X256" t="s">
        <v>50</v>
      </c>
      <c r="Y256" t="s">
        <v>50</v>
      </c>
      <c r="AD256" t="s">
        <v>49</v>
      </c>
      <c r="AE256">
        <v>10155028</v>
      </c>
      <c r="AF256">
        <v>72611</v>
      </c>
      <c r="AH256" t="s">
        <v>50</v>
      </c>
      <c r="AI256" t="s">
        <v>50</v>
      </c>
      <c r="AJ256" t="s">
        <v>51</v>
      </c>
      <c r="AK256" t="s">
        <v>50</v>
      </c>
      <c r="AM256" t="s">
        <v>49</v>
      </c>
      <c r="AN256" t="s">
        <v>1583</v>
      </c>
    </row>
    <row r="257" spans="1:40" x14ac:dyDescent="0.2">
      <c r="A257">
        <v>4656497</v>
      </c>
      <c r="B257" t="s">
        <v>1584</v>
      </c>
      <c r="C257" t="str">
        <f>"9780071432986"</f>
        <v>9780071432986</v>
      </c>
      <c r="D257" t="str">
        <f>"9780071509145"</f>
        <v>9780071509145</v>
      </c>
      <c r="E257" t="s">
        <v>1544</v>
      </c>
      <c r="F257" t="s">
        <v>1575</v>
      </c>
      <c r="G257" s="1">
        <v>39150</v>
      </c>
      <c r="H257" s="1">
        <v>1</v>
      </c>
      <c r="I257" t="s">
        <v>43</v>
      </c>
      <c r="L257" t="s">
        <v>1585</v>
      </c>
      <c r="M257" t="s">
        <v>45</v>
      </c>
      <c r="N257" t="s">
        <v>1586</v>
      </c>
      <c r="O257" t="s">
        <v>976</v>
      </c>
      <c r="P257" t="s">
        <v>1560</v>
      </c>
      <c r="Q257" t="s">
        <v>48</v>
      </c>
      <c r="R257" t="s">
        <v>50</v>
      </c>
      <c r="S257" t="s">
        <v>50</v>
      </c>
      <c r="T257" t="s">
        <v>50</v>
      </c>
      <c r="U257" t="s">
        <v>50</v>
      </c>
      <c r="V257" t="s">
        <v>49</v>
      </c>
      <c r="W257" t="s">
        <v>50</v>
      </c>
      <c r="X257" t="s">
        <v>50</v>
      </c>
      <c r="Y257" t="s">
        <v>50</v>
      </c>
      <c r="AD257" t="s">
        <v>49</v>
      </c>
      <c r="AE257">
        <v>10196843</v>
      </c>
      <c r="AF257">
        <v>103033</v>
      </c>
      <c r="AH257" t="s">
        <v>50</v>
      </c>
      <c r="AI257" t="s">
        <v>50</v>
      </c>
      <c r="AJ257" t="s">
        <v>51</v>
      </c>
      <c r="AK257" t="s">
        <v>50</v>
      </c>
      <c r="AM257" t="s">
        <v>49</v>
      </c>
      <c r="AN257" t="s">
        <v>1587</v>
      </c>
    </row>
    <row r="258" spans="1:40" x14ac:dyDescent="0.2">
      <c r="A258">
        <v>4656541</v>
      </c>
      <c r="B258" t="s">
        <v>1588</v>
      </c>
      <c r="C258" t="str">
        <f>"9780071452373"</f>
        <v>9780071452373</v>
      </c>
      <c r="D258" t="str">
        <f>"9780071589017"</f>
        <v>9780071589017</v>
      </c>
      <c r="E258" t="s">
        <v>1544</v>
      </c>
      <c r="F258" t="s">
        <v>1544</v>
      </c>
      <c r="G258" s="1">
        <v>38600</v>
      </c>
      <c r="H258" s="1">
        <v>1</v>
      </c>
      <c r="I258" t="s">
        <v>43</v>
      </c>
      <c r="J258">
        <v>4</v>
      </c>
      <c r="L258" t="s">
        <v>1589</v>
      </c>
      <c r="M258" t="s">
        <v>304</v>
      </c>
      <c r="N258" t="s">
        <v>1590</v>
      </c>
      <c r="O258" t="s">
        <v>1591</v>
      </c>
      <c r="P258" t="s">
        <v>1592</v>
      </c>
      <c r="Q258" t="s">
        <v>48</v>
      </c>
      <c r="R258" t="s">
        <v>50</v>
      </c>
      <c r="S258" t="s">
        <v>50</v>
      </c>
      <c r="T258" t="s">
        <v>50</v>
      </c>
      <c r="U258" t="s">
        <v>50</v>
      </c>
      <c r="V258" t="s">
        <v>49</v>
      </c>
      <c r="W258" t="s">
        <v>50</v>
      </c>
      <c r="X258" t="s">
        <v>50</v>
      </c>
      <c r="Y258" t="s">
        <v>50</v>
      </c>
      <c r="AD258" t="s">
        <v>49</v>
      </c>
      <c r="AE258">
        <v>10196887</v>
      </c>
      <c r="AF258">
        <v>108051</v>
      </c>
      <c r="AH258" t="s">
        <v>50</v>
      </c>
      <c r="AI258" t="s">
        <v>50</v>
      </c>
      <c r="AJ258" t="s">
        <v>51</v>
      </c>
      <c r="AK258" t="s">
        <v>50</v>
      </c>
      <c r="AM258" t="s">
        <v>49</v>
      </c>
      <c r="AN258" t="s">
        <v>1593</v>
      </c>
    </row>
    <row r="259" spans="1:40" x14ac:dyDescent="0.2">
      <c r="A259">
        <v>4656548</v>
      </c>
      <c r="B259" t="s">
        <v>1594</v>
      </c>
      <c r="C259" t="str">
        <f>"9780071484695"</f>
        <v>9780071484695</v>
      </c>
      <c r="D259" t="str">
        <f>"9780071508766"</f>
        <v>9780071508766</v>
      </c>
      <c r="E259" t="s">
        <v>1544</v>
      </c>
      <c r="F259" t="s">
        <v>1575</v>
      </c>
      <c r="G259" s="1">
        <v>39114</v>
      </c>
      <c r="H259" s="1">
        <v>1</v>
      </c>
      <c r="I259" t="s">
        <v>43</v>
      </c>
      <c r="J259">
        <v>3</v>
      </c>
      <c r="K259" t="s">
        <v>1595</v>
      </c>
      <c r="L259" t="s">
        <v>1596</v>
      </c>
      <c r="M259" t="s">
        <v>45</v>
      </c>
      <c r="N259" t="s">
        <v>1597</v>
      </c>
      <c r="O259">
        <v>458.24209999999903</v>
      </c>
      <c r="P259" t="s">
        <v>1598</v>
      </c>
      <c r="Q259" t="s">
        <v>48</v>
      </c>
      <c r="R259" t="s">
        <v>50</v>
      </c>
      <c r="S259" t="s">
        <v>50</v>
      </c>
      <c r="T259" t="s">
        <v>50</v>
      </c>
      <c r="U259" t="s">
        <v>50</v>
      </c>
      <c r="V259" t="s">
        <v>49</v>
      </c>
      <c r="W259" t="s">
        <v>50</v>
      </c>
      <c r="X259" t="s">
        <v>50</v>
      </c>
      <c r="Y259" t="s">
        <v>50</v>
      </c>
      <c r="AD259" t="s">
        <v>49</v>
      </c>
      <c r="AE259">
        <v>10196895</v>
      </c>
      <c r="AF259">
        <v>103004</v>
      </c>
      <c r="AH259" t="s">
        <v>50</v>
      </c>
      <c r="AI259" t="s">
        <v>50</v>
      </c>
      <c r="AJ259" t="s">
        <v>51</v>
      </c>
      <c r="AK259" t="s">
        <v>50</v>
      </c>
      <c r="AM259" t="s">
        <v>49</v>
      </c>
      <c r="AN259" t="s">
        <v>1599</v>
      </c>
    </row>
    <row r="260" spans="1:40" x14ac:dyDescent="0.2">
      <c r="A260">
        <v>4656553</v>
      </c>
      <c r="B260" t="s">
        <v>1600</v>
      </c>
      <c r="C260" t="str">
        <f>"9780071492225"</f>
        <v>9780071492225</v>
      </c>
      <c r="D260" t="str">
        <f>"9780071510752"</f>
        <v>9780071510752</v>
      </c>
      <c r="E260" t="s">
        <v>1544</v>
      </c>
      <c r="F260" t="s">
        <v>1575</v>
      </c>
      <c r="G260" s="1">
        <v>39224</v>
      </c>
      <c r="H260" s="1">
        <v>1</v>
      </c>
      <c r="I260" t="s">
        <v>43</v>
      </c>
      <c r="J260">
        <v>2</v>
      </c>
      <c r="K260" t="s">
        <v>1601</v>
      </c>
      <c r="L260" t="s">
        <v>1602</v>
      </c>
      <c r="M260" t="s">
        <v>45</v>
      </c>
      <c r="N260" t="s">
        <v>1603</v>
      </c>
      <c r="O260" t="s">
        <v>1604</v>
      </c>
      <c r="P260" t="s">
        <v>1605</v>
      </c>
      <c r="Q260" t="s">
        <v>48</v>
      </c>
      <c r="R260" t="s">
        <v>50</v>
      </c>
      <c r="S260" t="s">
        <v>50</v>
      </c>
      <c r="T260" t="s">
        <v>50</v>
      </c>
      <c r="U260" t="s">
        <v>50</v>
      </c>
      <c r="V260" t="s">
        <v>49</v>
      </c>
      <c r="W260" t="s">
        <v>50</v>
      </c>
      <c r="X260" t="s">
        <v>50</v>
      </c>
      <c r="Y260" t="s">
        <v>50</v>
      </c>
      <c r="AD260" t="s">
        <v>49</v>
      </c>
      <c r="AE260">
        <v>10196900</v>
      </c>
      <c r="AF260">
        <v>103138</v>
      </c>
      <c r="AH260" t="s">
        <v>50</v>
      </c>
      <c r="AI260" t="s">
        <v>50</v>
      </c>
      <c r="AJ260" t="s">
        <v>51</v>
      </c>
      <c r="AK260" t="s">
        <v>50</v>
      </c>
      <c r="AM260" t="s">
        <v>49</v>
      </c>
      <c r="AN260" t="s">
        <v>1606</v>
      </c>
    </row>
    <row r="261" spans="1:40" x14ac:dyDescent="0.2">
      <c r="A261">
        <v>4656580</v>
      </c>
      <c r="B261" t="s">
        <v>1580</v>
      </c>
      <c r="C261" t="str">
        <f>"9780071458061"</f>
        <v>9780071458061</v>
      </c>
      <c r="D261" t="str">
        <f>"9780071510622"</f>
        <v>9780071510622</v>
      </c>
      <c r="E261" t="s">
        <v>1544</v>
      </c>
      <c r="F261" t="s">
        <v>1575</v>
      </c>
      <c r="G261" s="1">
        <v>39223</v>
      </c>
      <c r="H261" s="1">
        <v>1</v>
      </c>
      <c r="I261" t="s">
        <v>43</v>
      </c>
      <c r="K261" t="s">
        <v>1580</v>
      </c>
      <c r="L261" t="s">
        <v>1607</v>
      </c>
      <c r="M261" t="s">
        <v>1554</v>
      </c>
      <c r="N261" t="s">
        <v>1608</v>
      </c>
      <c r="O261">
        <v>468.24209999999903</v>
      </c>
      <c r="P261" t="s">
        <v>1609</v>
      </c>
      <c r="Q261" t="s">
        <v>48</v>
      </c>
      <c r="R261" t="s">
        <v>50</v>
      </c>
      <c r="S261" t="s">
        <v>50</v>
      </c>
      <c r="T261" t="s">
        <v>50</v>
      </c>
      <c r="U261" t="s">
        <v>50</v>
      </c>
      <c r="V261" t="s">
        <v>49</v>
      </c>
      <c r="W261" t="s">
        <v>50</v>
      </c>
      <c r="X261" t="s">
        <v>50</v>
      </c>
      <c r="Y261" t="s">
        <v>50</v>
      </c>
      <c r="AD261" t="s">
        <v>49</v>
      </c>
      <c r="AE261">
        <v>10196927</v>
      </c>
      <c r="AF261">
        <v>103132</v>
      </c>
      <c r="AH261" t="s">
        <v>50</v>
      </c>
      <c r="AI261" t="s">
        <v>50</v>
      </c>
      <c r="AJ261" t="s">
        <v>51</v>
      </c>
      <c r="AK261" t="s">
        <v>50</v>
      </c>
      <c r="AM261" t="s">
        <v>49</v>
      </c>
      <c r="AN261" t="s">
        <v>1610</v>
      </c>
    </row>
    <row r="262" spans="1:40" x14ac:dyDescent="0.2">
      <c r="A262">
        <v>4656644</v>
      </c>
      <c r="B262" t="s">
        <v>1611</v>
      </c>
      <c r="C262" t="str">
        <f>"9780071475143"</f>
        <v>9780071475143</v>
      </c>
      <c r="D262" t="str">
        <f>"9780071593632"</f>
        <v>9780071593632</v>
      </c>
      <c r="E262" t="s">
        <v>1544</v>
      </c>
      <c r="F262" t="s">
        <v>1575</v>
      </c>
      <c r="G262" s="1">
        <v>39255</v>
      </c>
      <c r="H262" s="1">
        <v>1</v>
      </c>
      <c r="I262" t="s">
        <v>43</v>
      </c>
      <c r="L262" t="s">
        <v>1612</v>
      </c>
      <c r="M262" t="s">
        <v>45</v>
      </c>
      <c r="N262" t="s">
        <v>1613</v>
      </c>
      <c r="O262">
        <v>438.24209999999999</v>
      </c>
      <c r="P262" t="s">
        <v>1614</v>
      </c>
      <c r="Q262" t="s">
        <v>48</v>
      </c>
      <c r="R262" t="s">
        <v>50</v>
      </c>
      <c r="S262" t="s">
        <v>50</v>
      </c>
      <c r="T262" t="s">
        <v>50</v>
      </c>
      <c r="U262" t="s">
        <v>50</v>
      </c>
      <c r="V262" t="s">
        <v>49</v>
      </c>
      <c r="W262" t="s">
        <v>50</v>
      </c>
      <c r="X262" t="s">
        <v>50</v>
      </c>
      <c r="Y262" t="s">
        <v>50</v>
      </c>
      <c r="AD262" t="s">
        <v>49</v>
      </c>
      <c r="AE262">
        <v>10201057</v>
      </c>
      <c r="AF262">
        <v>111353</v>
      </c>
      <c r="AH262" t="s">
        <v>50</v>
      </c>
      <c r="AI262" t="s">
        <v>50</v>
      </c>
      <c r="AJ262" t="s">
        <v>51</v>
      </c>
      <c r="AK262" t="s">
        <v>50</v>
      </c>
      <c r="AM262" t="s">
        <v>49</v>
      </c>
      <c r="AN262" t="s">
        <v>1615</v>
      </c>
    </row>
    <row r="263" spans="1:40" x14ac:dyDescent="0.2">
      <c r="A263">
        <v>4656687</v>
      </c>
      <c r="B263" t="s">
        <v>1616</v>
      </c>
      <c r="C263" t="str">
        <f>"9780071494724"</f>
        <v>9780071494724</v>
      </c>
      <c r="D263" t="str">
        <f>"9780071595490"</f>
        <v>9780071595490</v>
      </c>
      <c r="E263" t="s">
        <v>1544</v>
      </c>
      <c r="F263" t="s">
        <v>1575</v>
      </c>
      <c r="G263" s="1">
        <v>39422</v>
      </c>
      <c r="H263" s="1">
        <v>1</v>
      </c>
      <c r="I263" t="s">
        <v>43</v>
      </c>
      <c r="L263" t="s">
        <v>1617</v>
      </c>
      <c r="M263" t="s">
        <v>58</v>
      </c>
      <c r="N263" t="s">
        <v>1618</v>
      </c>
      <c r="O263" t="s">
        <v>855</v>
      </c>
      <c r="P263" t="s">
        <v>1619</v>
      </c>
      <c r="Q263" t="s">
        <v>48</v>
      </c>
      <c r="R263" t="s">
        <v>50</v>
      </c>
      <c r="S263" t="s">
        <v>50</v>
      </c>
      <c r="T263" t="s">
        <v>50</v>
      </c>
      <c r="U263" t="s">
        <v>50</v>
      </c>
      <c r="V263" t="s">
        <v>49</v>
      </c>
      <c r="W263" t="s">
        <v>50</v>
      </c>
      <c r="X263" t="s">
        <v>50</v>
      </c>
      <c r="Y263" t="s">
        <v>50</v>
      </c>
      <c r="AD263" t="s">
        <v>49</v>
      </c>
      <c r="AE263">
        <v>10203710</v>
      </c>
      <c r="AF263">
        <v>110981</v>
      </c>
      <c r="AH263" t="s">
        <v>50</v>
      </c>
      <c r="AI263" t="s">
        <v>50</v>
      </c>
      <c r="AJ263" t="s">
        <v>51</v>
      </c>
      <c r="AK263" t="s">
        <v>50</v>
      </c>
      <c r="AM263" t="s">
        <v>49</v>
      </c>
      <c r="AN263" t="s">
        <v>1620</v>
      </c>
    </row>
    <row r="264" spans="1:40" x14ac:dyDescent="0.2">
      <c r="A264">
        <v>4656688</v>
      </c>
      <c r="B264" t="s">
        <v>1621</v>
      </c>
      <c r="C264" t="str">
        <f>"9780071472326"</f>
        <v>9780071472326</v>
      </c>
      <c r="D264" t="str">
        <f>"9780071593571"</f>
        <v>9780071593571</v>
      </c>
      <c r="E264" t="s">
        <v>1544</v>
      </c>
      <c r="F264" t="s">
        <v>1575</v>
      </c>
      <c r="G264" s="1">
        <v>39287</v>
      </c>
      <c r="H264" s="1">
        <v>1</v>
      </c>
      <c r="I264" t="s">
        <v>43</v>
      </c>
      <c r="L264" t="s">
        <v>1622</v>
      </c>
      <c r="M264" t="s">
        <v>45</v>
      </c>
      <c r="N264" t="s">
        <v>1623</v>
      </c>
      <c r="O264">
        <v>458.24209999999999</v>
      </c>
      <c r="P264" t="s">
        <v>1598</v>
      </c>
      <c r="Q264" t="s">
        <v>48</v>
      </c>
      <c r="R264" t="s">
        <v>50</v>
      </c>
      <c r="S264" t="s">
        <v>50</v>
      </c>
      <c r="T264" t="s">
        <v>50</v>
      </c>
      <c r="U264" t="s">
        <v>50</v>
      </c>
      <c r="V264" t="s">
        <v>49</v>
      </c>
      <c r="W264" t="s">
        <v>50</v>
      </c>
      <c r="X264" t="s">
        <v>50</v>
      </c>
      <c r="Y264" t="s">
        <v>50</v>
      </c>
      <c r="AD264" t="s">
        <v>49</v>
      </c>
      <c r="AE264">
        <v>10203711</v>
      </c>
      <c r="AF264">
        <v>111349</v>
      </c>
      <c r="AH264" t="s">
        <v>50</v>
      </c>
      <c r="AI264" t="s">
        <v>50</v>
      </c>
      <c r="AJ264" t="s">
        <v>51</v>
      </c>
      <c r="AK264" t="s">
        <v>50</v>
      </c>
      <c r="AM264" t="s">
        <v>49</v>
      </c>
      <c r="AN264" t="s">
        <v>1624</v>
      </c>
    </row>
    <row r="265" spans="1:40" x14ac:dyDescent="0.2">
      <c r="A265">
        <v>4656694</v>
      </c>
      <c r="B265" t="s">
        <v>1625</v>
      </c>
      <c r="C265" t="str">
        <f>"9780071475372"</f>
        <v>9780071475372</v>
      </c>
      <c r="D265" t="str">
        <f>"9780071593663"</f>
        <v>9780071593663</v>
      </c>
      <c r="E265" t="s">
        <v>1544</v>
      </c>
      <c r="F265" t="s">
        <v>1575</v>
      </c>
      <c r="G265" s="1">
        <v>39315</v>
      </c>
      <c r="H265" s="1">
        <v>1</v>
      </c>
      <c r="I265" t="s">
        <v>43</v>
      </c>
      <c r="K265" t="s">
        <v>1626</v>
      </c>
      <c r="L265" t="s">
        <v>1627</v>
      </c>
      <c r="M265" t="s">
        <v>571</v>
      </c>
      <c r="N265" t="s">
        <v>1628</v>
      </c>
      <c r="O265" t="s">
        <v>1629</v>
      </c>
      <c r="P265" t="s">
        <v>1630</v>
      </c>
      <c r="Q265" t="s">
        <v>48</v>
      </c>
      <c r="R265" t="s">
        <v>50</v>
      </c>
      <c r="S265" t="s">
        <v>50</v>
      </c>
      <c r="T265" t="s">
        <v>50</v>
      </c>
      <c r="U265" t="s">
        <v>50</v>
      </c>
      <c r="V265" t="s">
        <v>49</v>
      </c>
      <c r="W265" t="s">
        <v>50</v>
      </c>
      <c r="X265" t="s">
        <v>50</v>
      </c>
      <c r="Y265" t="s">
        <v>50</v>
      </c>
      <c r="AD265" t="s">
        <v>49</v>
      </c>
      <c r="AE265">
        <v>10203717</v>
      </c>
      <c r="AF265">
        <v>111354</v>
      </c>
      <c r="AH265" t="s">
        <v>50</v>
      </c>
      <c r="AI265" t="s">
        <v>50</v>
      </c>
      <c r="AJ265" t="s">
        <v>51</v>
      </c>
      <c r="AK265" t="s">
        <v>50</v>
      </c>
      <c r="AM265" t="s">
        <v>49</v>
      </c>
      <c r="AN265" t="s">
        <v>1631</v>
      </c>
    </row>
    <row r="266" spans="1:40" x14ac:dyDescent="0.2">
      <c r="A266">
        <v>4656695</v>
      </c>
      <c r="B266" t="s">
        <v>1632</v>
      </c>
      <c r="C266" t="str">
        <f>"9780071475136"</f>
        <v>9780071475136</v>
      </c>
      <c r="D266" t="str">
        <f>"9780071593625"</f>
        <v>9780071593625</v>
      </c>
      <c r="E266" t="s">
        <v>1544</v>
      </c>
      <c r="F266" t="s">
        <v>1575</v>
      </c>
      <c r="G266" s="1">
        <v>39259</v>
      </c>
      <c r="H266" s="1">
        <v>1</v>
      </c>
      <c r="I266" t="s">
        <v>43</v>
      </c>
      <c r="L266" t="s">
        <v>1633</v>
      </c>
      <c r="M266" t="s">
        <v>45</v>
      </c>
      <c r="N266" t="s">
        <v>1634</v>
      </c>
      <c r="O266">
        <v>448.24209999999999</v>
      </c>
      <c r="P266" t="s">
        <v>1635</v>
      </c>
      <c r="Q266" t="s">
        <v>48</v>
      </c>
      <c r="R266" t="s">
        <v>50</v>
      </c>
      <c r="S266" t="s">
        <v>50</v>
      </c>
      <c r="T266" t="s">
        <v>50</v>
      </c>
      <c r="U266" t="s">
        <v>50</v>
      </c>
      <c r="V266" t="s">
        <v>49</v>
      </c>
      <c r="W266" t="s">
        <v>50</v>
      </c>
      <c r="X266" t="s">
        <v>50</v>
      </c>
      <c r="Y266" t="s">
        <v>50</v>
      </c>
      <c r="AD266" t="s">
        <v>49</v>
      </c>
      <c r="AE266">
        <v>10203718</v>
      </c>
      <c r="AF266">
        <v>111352</v>
      </c>
      <c r="AH266" t="s">
        <v>50</v>
      </c>
      <c r="AI266" t="s">
        <v>50</v>
      </c>
      <c r="AJ266" t="s">
        <v>51</v>
      </c>
      <c r="AK266" t="s">
        <v>50</v>
      </c>
      <c r="AM266" t="s">
        <v>49</v>
      </c>
      <c r="AN266" t="s">
        <v>1636</v>
      </c>
    </row>
    <row r="267" spans="1:40" x14ac:dyDescent="0.2">
      <c r="A267">
        <v>4656705</v>
      </c>
      <c r="B267" t="s">
        <v>1580</v>
      </c>
      <c r="C267" t="str">
        <f>"9780071488341"</f>
        <v>9780071488341</v>
      </c>
      <c r="D267" t="str">
        <f>"9780071594615"</f>
        <v>9780071594615</v>
      </c>
      <c r="E267" t="s">
        <v>1544</v>
      </c>
      <c r="F267" t="s">
        <v>1575</v>
      </c>
      <c r="G267" s="1">
        <v>39385</v>
      </c>
      <c r="H267" s="1">
        <v>1</v>
      </c>
      <c r="I267" t="s">
        <v>43</v>
      </c>
      <c r="L267" t="s">
        <v>1633</v>
      </c>
      <c r="M267" t="s">
        <v>45</v>
      </c>
      <c r="N267" t="s">
        <v>1637</v>
      </c>
      <c r="O267">
        <v>448.24209999999903</v>
      </c>
      <c r="P267" t="s">
        <v>1560</v>
      </c>
      <c r="Q267" t="s">
        <v>48</v>
      </c>
      <c r="R267" t="s">
        <v>50</v>
      </c>
      <c r="S267" t="s">
        <v>50</v>
      </c>
      <c r="T267" t="s">
        <v>50</v>
      </c>
      <c r="U267" t="s">
        <v>50</v>
      </c>
      <c r="V267" t="s">
        <v>49</v>
      </c>
      <c r="W267" t="s">
        <v>50</v>
      </c>
      <c r="X267" t="s">
        <v>50</v>
      </c>
      <c r="Y267" t="s">
        <v>50</v>
      </c>
      <c r="AD267" t="s">
        <v>49</v>
      </c>
      <c r="AE267">
        <v>10203728</v>
      </c>
      <c r="AF267">
        <v>111405</v>
      </c>
      <c r="AH267" t="s">
        <v>50</v>
      </c>
      <c r="AI267" t="s">
        <v>50</v>
      </c>
      <c r="AJ267" t="s">
        <v>51</v>
      </c>
      <c r="AK267" t="s">
        <v>50</v>
      </c>
      <c r="AM267" t="s">
        <v>49</v>
      </c>
      <c r="AN267" t="s">
        <v>1638</v>
      </c>
    </row>
    <row r="268" spans="1:40" x14ac:dyDescent="0.2">
      <c r="A268">
        <v>4656717</v>
      </c>
      <c r="B268" t="s">
        <v>1639</v>
      </c>
      <c r="C268" t="str">
        <f>"9780071499217"</f>
        <v>9780071499217</v>
      </c>
      <c r="D268" t="str">
        <f>"9780071596282"</f>
        <v>9780071596282</v>
      </c>
      <c r="E268" t="s">
        <v>1544</v>
      </c>
      <c r="F268" t="s">
        <v>1575</v>
      </c>
      <c r="G268" s="1">
        <v>39399</v>
      </c>
      <c r="H268" s="1">
        <v>1</v>
      </c>
      <c r="I268" t="s">
        <v>43</v>
      </c>
      <c r="K268" t="s">
        <v>1640</v>
      </c>
      <c r="L268" t="s">
        <v>1641</v>
      </c>
      <c r="M268" t="s">
        <v>1554</v>
      </c>
      <c r="N268" t="s">
        <v>1642</v>
      </c>
      <c r="O268">
        <v>428.34</v>
      </c>
      <c r="P268" t="s">
        <v>1643</v>
      </c>
      <c r="Q268" t="s">
        <v>48</v>
      </c>
      <c r="R268" t="s">
        <v>50</v>
      </c>
      <c r="S268" t="s">
        <v>50</v>
      </c>
      <c r="T268" t="s">
        <v>50</v>
      </c>
      <c r="U268" t="s">
        <v>50</v>
      </c>
      <c r="V268" t="s">
        <v>49</v>
      </c>
      <c r="W268" t="s">
        <v>50</v>
      </c>
      <c r="X268" t="s">
        <v>50</v>
      </c>
      <c r="Y268" t="s">
        <v>50</v>
      </c>
      <c r="AD268" t="s">
        <v>49</v>
      </c>
      <c r="AE268">
        <v>10203740</v>
      </c>
      <c r="AF268">
        <v>110964</v>
      </c>
      <c r="AH268" t="s">
        <v>50</v>
      </c>
      <c r="AI268" t="s">
        <v>50</v>
      </c>
      <c r="AJ268" t="s">
        <v>51</v>
      </c>
      <c r="AK268" t="s">
        <v>50</v>
      </c>
      <c r="AM268" t="s">
        <v>49</v>
      </c>
      <c r="AN268" t="s">
        <v>1644</v>
      </c>
    </row>
    <row r="269" spans="1:40" x14ac:dyDescent="0.2">
      <c r="A269">
        <v>4656726</v>
      </c>
      <c r="B269" t="s">
        <v>1645</v>
      </c>
      <c r="C269" t="str">
        <f>"9780071476591"</f>
        <v>9780071476591</v>
      </c>
      <c r="D269" t="str">
        <f>"9780071593731"</f>
        <v>9780071593731</v>
      </c>
      <c r="E269" t="s">
        <v>1544</v>
      </c>
      <c r="F269" t="s">
        <v>1575</v>
      </c>
      <c r="G269" s="1">
        <v>39357</v>
      </c>
      <c r="H269" s="1">
        <v>1</v>
      </c>
      <c r="I269" t="s">
        <v>43</v>
      </c>
      <c r="L269" t="s">
        <v>1646</v>
      </c>
      <c r="M269" t="s">
        <v>45</v>
      </c>
      <c r="N269" t="s">
        <v>1647</v>
      </c>
      <c r="O269">
        <v>458</v>
      </c>
      <c r="P269" t="s">
        <v>1648</v>
      </c>
      <c r="Q269" t="s">
        <v>48</v>
      </c>
      <c r="R269" t="s">
        <v>50</v>
      </c>
      <c r="S269" t="s">
        <v>50</v>
      </c>
      <c r="T269" t="s">
        <v>50</v>
      </c>
      <c r="U269" t="s">
        <v>50</v>
      </c>
      <c r="V269" t="s">
        <v>49</v>
      </c>
      <c r="W269" t="s">
        <v>50</v>
      </c>
      <c r="X269" t="s">
        <v>50</v>
      </c>
      <c r="Y269" t="s">
        <v>50</v>
      </c>
      <c r="AD269" t="s">
        <v>49</v>
      </c>
      <c r="AE269">
        <v>10204506</v>
      </c>
      <c r="AF269">
        <v>111356</v>
      </c>
      <c r="AH269" t="s">
        <v>50</v>
      </c>
      <c r="AI269" t="s">
        <v>50</v>
      </c>
      <c r="AJ269" t="s">
        <v>51</v>
      </c>
      <c r="AK269" t="s">
        <v>50</v>
      </c>
      <c r="AM269" t="s">
        <v>49</v>
      </c>
      <c r="AN269" t="s">
        <v>1649</v>
      </c>
    </row>
    <row r="270" spans="1:40" x14ac:dyDescent="0.2">
      <c r="A270">
        <v>4656740</v>
      </c>
      <c r="B270" t="s">
        <v>1650</v>
      </c>
      <c r="C270" t="str">
        <f>"9780071475617"</f>
        <v>9780071475617</v>
      </c>
      <c r="D270" t="str">
        <f>"9780071593687"</f>
        <v>9780071593687</v>
      </c>
      <c r="E270" t="s">
        <v>1544</v>
      </c>
      <c r="F270" t="s">
        <v>1575</v>
      </c>
      <c r="G270" s="1">
        <v>39280</v>
      </c>
      <c r="H270" s="1">
        <v>1</v>
      </c>
      <c r="I270" t="s">
        <v>43</v>
      </c>
      <c r="L270" t="s">
        <v>1651</v>
      </c>
      <c r="M270" t="s">
        <v>45</v>
      </c>
      <c r="N270" t="s">
        <v>1652</v>
      </c>
      <c r="O270" t="s">
        <v>1653</v>
      </c>
      <c r="P270" t="s">
        <v>1614</v>
      </c>
      <c r="Q270" t="s">
        <v>48</v>
      </c>
      <c r="R270" t="s">
        <v>50</v>
      </c>
      <c r="S270" t="s">
        <v>50</v>
      </c>
      <c r="T270" t="s">
        <v>50</v>
      </c>
      <c r="U270" t="s">
        <v>50</v>
      </c>
      <c r="V270" t="s">
        <v>49</v>
      </c>
      <c r="W270" t="s">
        <v>50</v>
      </c>
      <c r="X270" t="s">
        <v>50</v>
      </c>
      <c r="Y270" t="s">
        <v>50</v>
      </c>
      <c r="AD270" t="s">
        <v>49</v>
      </c>
      <c r="AE270">
        <v>10204545</v>
      </c>
      <c r="AF270">
        <v>111355</v>
      </c>
      <c r="AH270" t="s">
        <v>50</v>
      </c>
      <c r="AI270" t="s">
        <v>50</v>
      </c>
      <c r="AJ270" t="s">
        <v>51</v>
      </c>
      <c r="AK270" t="s">
        <v>50</v>
      </c>
      <c r="AM270" t="s">
        <v>49</v>
      </c>
      <c r="AN270" t="s">
        <v>1654</v>
      </c>
    </row>
    <row r="271" spans="1:40" x14ac:dyDescent="0.2">
      <c r="A271">
        <v>4656750</v>
      </c>
      <c r="B271" t="s">
        <v>1580</v>
      </c>
      <c r="C271" t="str">
        <f>"9780071478946"</f>
        <v>9780071478946</v>
      </c>
      <c r="D271" t="str">
        <f>"9780071593922"</f>
        <v>9780071593922</v>
      </c>
      <c r="E271" t="s">
        <v>1544</v>
      </c>
      <c r="F271" t="s">
        <v>1575</v>
      </c>
      <c r="G271" s="1">
        <v>39336</v>
      </c>
      <c r="H271" s="1">
        <v>1</v>
      </c>
      <c r="I271" t="s">
        <v>43</v>
      </c>
      <c r="L271" t="s">
        <v>1655</v>
      </c>
      <c r="M271" t="s">
        <v>45</v>
      </c>
      <c r="N271" t="s">
        <v>1656</v>
      </c>
      <c r="O271">
        <v>448.24209999999999</v>
      </c>
      <c r="P271" t="s">
        <v>1657</v>
      </c>
      <c r="Q271" t="s">
        <v>48</v>
      </c>
      <c r="R271" t="s">
        <v>50</v>
      </c>
      <c r="S271" t="s">
        <v>50</v>
      </c>
      <c r="T271" t="s">
        <v>50</v>
      </c>
      <c r="U271" t="s">
        <v>50</v>
      </c>
      <c r="V271" t="s">
        <v>49</v>
      </c>
      <c r="W271" t="s">
        <v>50</v>
      </c>
      <c r="X271" t="s">
        <v>50</v>
      </c>
      <c r="Y271" t="s">
        <v>50</v>
      </c>
      <c r="AD271" t="s">
        <v>49</v>
      </c>
      <c r="AE271">
        <v>10204571</v>
      </c>
      <c r="AF271">
        <v>111367</v>
      </c>
      <c r="AH271" t="s">
        <v>50</v>
      </c>
      <c r="AI271" t="s">
        <v>50</v>
      </c>
      <c r="AJ271" t="s">
        <v>51</v>
      </c>
      <c r="AK271" t="s">
        <v>50</v>
      </c>
      <c r="AM271" t="s">
        <v>49</v>
      </c>
      <c r="AN271" t="s">
        <v>1658</v>
      </c>
    </row>
    <row r="272" spans="1:40" x14ac:dyDescent="0.2">
      <c r="A272">
        <v>4656756</v>
      </c>
      <c r="B272" t="s">
        <v>1580</v>
      </c>
      <c r="C272" t="str">
        <f>"9780071482844"</f>
        <v>9780071482844</v>
      </c>
      <c r="D272" t="str">
        <f>"9780071594356"</f>
        <v>9780071594356</v>
      </c>
      <c r="E272" t="s">
        <v>1544</v>
      </c>
      <c r="F272" t="s">
        <v>1575</v>
      </c>
      <c r="G272" s="1">
        <v>39385</v>
      </c>
      <c r="H272" s="1">
        <v>1</v>
      </c>
      <c r="I272" t="s">
        <v>43</v>
      </c>
      <c r="L272" t="s">
        <v>1659</v>
      </c>
      <c r="M272" t="s">
        <v>45</v>
      </c>
      <c r="N272" t="s">
        <v>1660</v>
      </c>
      <c r="O272">
        <v>448.24209999999903</v>
      </c>
      <c r="P272" t="s">
        <v>1560</v>
      </c>
      <c r="Q272" t="s">
        <v>48</v>
      </c>
      <c r="R272" t="s">
        <v>50</v>
      </c>
      <c r="S272" t="s">
        <v>50</v>
      </c>
      <c r="T272" t="s">
        <v>50</v>
      </c>
      <c r="U272" t="s">
        <v>50</v>
      </c>
      <c r="V272" t="s">
        <v>49</v>
      </c>
      <c r="W272" t="s">
        <v>50</v>
      </c>
      <c r="X272" t="s">
        <v>50</v>
      </c>
      <c r="Y272" t="s">
        <v>50</v>
      </c>
      <c r="AD272" t="s">
        <v>49</v>
      </c>
      <c r="AE272">
        <v>10204585</v>
      </c>
      <c r="AF272">
        <v>111392</v>
      </c>
      <c r="AH272" t="s">
        <v>50</v>
      </c>
      <c r="AI272" t="s">
        <v>50</v>
      </c>
      <c r="AJ272" t="s">
        <v>51</v>
      </c>
      <c r="AK272" t="s">
        <v>50</v>
      </c>
      <c r="AM272" t="s">
        <v>49</v>
      </c>
      <c r="AN272" t="s">
        <v>1661</v>
      </c>
    </row>
    <row r="273" spans="1:40" x14ac:dyDescent="0.2">
      <c r="A273">
        <v>4656771</v>
      </c>
      <c r="B273" t="s">
        <v>1662</v>
      </c>
      <c r="C273" t="str">
        <f>"9780071492331"</f>
        <v>9780071492331</v>
      </c>
      <c r="D273" t="str">
        <f>"9780071596633"</f>
        <v>9780071596633</v>
      </c>
      <c r="E273" t="s">
        <v>1544</v>
      </c>
      <c r="F273" t="s">
        <v>1575</v>
      </c>
      <c r="G273" s="1">
        <v>39450</v>
      </c>
      <c r="H273" s="1">
        <v>1</v>
      </c>
      <c r="I273" t="s">
        <v>43</v>
      </c>
      <c r="L273" t="s">
        <v>1663</v>
      </c>
      <c r="M273" t="s">
        <v>45</v>
      </c>
      <c r="N273" t="s">
        <v>1664</v>
      </c>
      <c r="O273" t="s">
        <v>981</v>
      </c>
      <c r="P273" t="s">
        <v>1665</v>
      </c>
      <c r="Q273" t="s">
        <v>48</v>
      </c>
      <c r="R273" t="s">
        <v>50</v>
      </c>
      <c r="S273" t="s">
        <v>50</v>
      </c>
      <c r="T273" t="s">
        <v>50</v>
      </c>
      <c r="U273" t="s">
        <v>50</v>
      </c>
      <c r="V273" t="s">
        <v>49</v>
      </c>
      <c r="W273" t="s">
        <v>50</v>
      </c>
      <c r="X273" t="s">
        <v>50</v>
      </c>
      <c r="Y273" t="s">
        <v>50</v>
      </c>
      <c r="AD273" t="s">
        <v>49</v>
      </c>
      <c r="AE273">
        <v>10204600</v>
      </c>
      <c r="AF273">
        <v>110970</v>
      </c>
      <c r="AH273" t="s">
        <v>50</v>
      </c>
      <c r="AI273" t="s">
        <v>50</v>
      </c>
      <c r="AJ273" t="s">
        <v>51</v>
      </c>
      <c r="AK273" t="s">
        <v>50</v>
      </c>
      <c r="AM273" t="s">
        <v>49</v>
      </c>
      <c r="AN273" t="s">
        <v>1666</v>
      </c>
    </row>
    <row r="274" spans="1:40" x14ac:dyDescent="0.2">
      <c r="A274">
        <v>4656780</v>
      </c>
      <c r="B274" t="s">
        <v>1667</v>
      </c>
      <c r="C274" t="str">
        <f>"9780071498050"</f>
        <v>9780071498050</v>
      </c>
      <c r="D274" t="str">
        <f>"9780071596039"</f>
        <v>9780071596039</v>
      </c>
      <c r="E274" t="s">
        <v>1544</v>
      </c>
      <c r="F274" t="s">
        <v>1575</v>
      </c>
      <c r="G274" s="1">
        <v>39374</v>
      </c>
      <c r="H274" s="1">
        <v>1</v>
      </c>
      <c r="I274" t="s">
        <v>43</v>
      </c>
      <c r="J274">
        <v>2</v>
      </c>
      <c r="K274" t="s">
        <v>1668</v>
      </c>
      <c r="L274" t="s">
        <v>1669</v>
      </c>
      <c r="M274" t="s">
        <v>45</v>
      </c>
      <c r="N274" t="s">
        <v>1670</v>
      </c>
      <c r="O274">
        <v>492.782421</v>
      </c>
      <c r="P274" t="s">
        <v>1671</v>
      </c>
      <c r="Q274" t="s">
        <v>1672</v>
      </c>
      <c r="R274" t="s">
        <v>50</v>
      </c>
      <c r="S274" t="s">
        <v>50</v>
      </c>
      <c r="T274" t="s">
        <v>50</v>
      </c>
      <c r="U274" t="s">
        <v>50</v>
      </c>
      <c r="V274" t="s">
        <v>49</v>
      </c>
      <c r="W274" t="s">
        <v>50</v>
      </c>
      <c r="X274" t="s">
        <v>50</v>
      </c>
      <c r="Y274" t="s">
        <v>50</v>
      </c>
      <c r="AD274" t="s">
        <v>49</v>
      </c>
      <c r="AE274">
        <v>10204609</v>
      </c>
      <c r="AF274">
        <v>110956</v>
      </c>
      <c r="AH274" t="s">
        <v>50</v>
      </c>
      <c r="AI274" t="s">
        <v>50</v>
      </c>
      <c r="AJ274" t="s">
        <v>51</v>
      </c>
      <c r="AK274" t="s">
        <v>50</v>
      </c>
      <c r="AM274" t="s">
        <v>49</v>
      </c>
      <c r="AN274" t="s">
        <v>1673</v>
      </c>
    </row>
    <row r="275" spans="1:40" x14ac:dyDescent="0.2">
      <c r="A275">
        <v>4656785</v>
      </c>
      <c r="B275" t="s">
        <v>1674</v>
      </c>
      <c r="C275" t="str">
        <f>"9780071476584"</f>
        <v>9780071476584</v>
      </c>
      <c r="D275" t="str">
        <f>"9780071596558"</f>
        <v>9780071596558</v>
      </c>
      <c r="E275" t="s">
        <v>1544</v>
      </c>
      <c r="F275" t="s">
        <v>1575</v>
      </c>
      <c r="G275" s="1">
        <v>39269</v>
      </c>
      <c r="H275" s="1">
        <v>1</v>
      </c>
      <c r="I275" t="s">
        <v>43</v>
      </c>
      <c r="L275" t="s">
        <v>1675</v>
      </c>
      <c r="M275" t="s">
        <v>45</v>
      </c>
      <c r="N275" t="s">
        <v>1676</v>
      </c>
      <c r="O275">
        <v>468.24209999999999</v>
      </c>
      <c r="P275" t="s">
        <v>1556</v>
      </c>
      <c r="Q275" t="s">
        <v>48</v>
      </c>
      <c r="R275" t="s">
        <v>50</v>
      </c>
      <c r="S275" t="s">
        <v>50</v>
      </c>
      <c r="T275" t="s">
        <v>50</v>
      </c>
      <c r="U275" t="s">
        <v>50</v>
      </c>
      <c r="V275" t="s">
        <v>49</v>
      </c>
      <c r="W275" t="s">
        <v>50</v>
      </c>
      <c r="X275" t="s">
        <v>50</v>
      </c>
      <c r="Y275" t="s">
        <v>50</v>
      </c>
      <c r="AD275" t="s">
        <v>49</v>
      </c>
      <c r="AE275">
        <v>10204614</v>
      </c>
      <c r="AF275">
        <v>111407</v>
      </c>
      <c r="AH275" t="s">
        <v>50</v>
      </c>
      <c r="AI275" t="s">
        <v>50</v>
      </c>
      <c r="AJ275" t="s">
        <v>51</v>
      </c>
      <c r="AK275" t="s">
        <v>50</v>
      </c>
      <c r="AM275" t="s">
        <v>49</v>
      </c>
      <c r="AN275" t="s">
        <v>1677</v>
      </c>
    </row>
    <row r="276" spans="1:40" x14ac:dyDescent="0.2">
      <c r="A276">
        <v>4656786</v>
      </c>
      <c r="B276" t="s">
        <v>1678</v>
      </c>
      <c r="C276" t="str">
        <f>"9780071476607"</f>
        <v>9780071476607</v>
      </c>
      <c r="D276" t="str">
        <f>"9780071593748"</f>
        <v>9780071593748</v>
      </c>
      <c r="E276" t="s">
        <v>1544</v>
      </c>
      <c r="F276" t="s">
        <v>1575</v>
      </c>
      <c r="G276" s="1">
        <v>39280</v>
      </c>
      <c r="H276" s="1">
        <v>1</v>
      </c>
      <c r="I276" t="s">
        <v>43</v>
      </c>
      <c r="L276" t="s">
        <v>1659</v>
      </c>
      <c r="M276" t="s">
        <v>45</v>
      </c>
      <c r="N276" t="s">
        <v>1679</v>
      </c>
      <c r="O276">
        <v>448.24209999999999</v>
      </c>
      <c r="P276" t="s">
        <v>1680</v>
      </c>
      <c r="Q276" t="s">
        <v>48</v>
      </c>
      <c r="R276" t="s">
        <v>50</v>
      </c>
      <c r="S276" t="s">
        <v>50</v>
      </c>
      <c r="T276" t="s">
        <v>50</v>
      </c>
      <c r="U276" t="s">
        <v>50</v>
      </c>
      <c r="V276" t="s">
        <v>49</v>
      </c>
      <c r="W276" t="s">
        <v>50</v>
      </c>
      <c r="X276" t="s">
        <v>50</v>
      </c>
      <c r="Y276" t="s">
        <v>50</v>
      </c>
      <c r="AD276" t="s">
        <v>49</v>
      </c>
      <c r="AE276">
        <v>10204615</v>
      </c>
      <c r="AF276">
        <v>111357</v>
      </c>
      <c r="AH276" t="s">
        <v>50</v>
      </c>
      <c r="AI276" t="s">
        <v>50</v>
      </c>
      <c r="AJ276" t="s">
        <v>51</v>
      </c>
      <c r="AK276" t="s">
        <v>50</v>
      </c>
      <c r="AM276" t="s">
        <v>49</v>
      </c>
      <c r="AN276" t="s">
        <v>1681</v>
      </c>
    </row>
    <row r="277" spans="1:40" x14ac:dyDescent="0.2">
      <c r="A277">
        <v>4656868</v>
      </c>
      <c r="B277" t="s">
        <v>1682</v>
      </c>
      <c r="C277" t="str">
        <f>"9780071477611"</f>
        <v>9780071477611</v>
      </c>
      <c r="D277" t="str">
        <f>"9780071593809"</f>
        <v>9780071593809</v>
      </c>
      <c r="E277" t="s">
        <v>1544</v>
      </c>
      <c r="F277" t="s">
        <v>1575</v>
      </c>
      <c r="G277" s="1">
        <v>39783</v>
      </c>
      <c r="H277" s="1">
        <v>1</v>
      </c>
      <c r="I277" t="s">
        <v>43</v>
      </c>
      <c r="L277" t="s">
        <v>1683</v>
      </c>
      <c r="M277" t="s">
        <v>379</v>
      </c>
      <c r="N277" t="s">
        <v>1684</v>
      </c>
      <c r="O277" t="s">
        <v>1685</v>
      </c>
      <c r="P277" t="s">
        <v>1686</v>
      </c>
      <c r="Q277" t="s">
        <v>48</v>
      </c>
      <c r="R277" t="s">
        <v>50</v>
      </c>
      <c r="S277" t="s">
        <v>50</v>
      </c>
      <c r="T277" t="s">
        <v>50</v>
      </c>
      <c r="U277" t="s">
        <v>50</v>
      </c>
      <c r="V277" t="s">
        <v>49</v>
      </c>
      <c r="W277" t="s">
        <v>50</v>
      </c>
      <c r="X277" t="s">
        <v>50</v>
      </c>
      <c r="Y277" t="s">
        <v>50</v>
      </c>
      <c r="AD277" t="s">
        <v>49</v>
      </c>
      <c r="AE277">
        <v>10210145</v>
      </c>
      <c r="AF277">
        <v>115938</v>
      </c>
      <c r="AH277" t="s">
        <v>50</v>
      </c>
      <c r="AI277" t="s">
        <v>50</v>
      </c>
      <c r="AJ277" t="s">
        <v>51</v>
      </c>
      <c r="AK277" t="s">
        <v>50</v>
      </c>
      <c r="AM277" t="s">
        <v>49</v>
      </c>
      <c r="AN277" t="s">
        <v>1687</v>
      </c>
    </row>
    <row r="278" spans="1:40" x14ac:dyDescent="0.2">
      <c r="A278">
        <v>4656877</v>
      </c>
      <c r="B278" t="s">
        <v>1688</v>
      </c>
      <c r="C278" t="str">
        <f>"9780071432979"</f>
        <v>9780071432979</v>
      </c>
      <c r="D278" t="str">
        <f>"9780071508919"</f>
        <v>9780071508919</v>
      </c>
      <c r="E278" t="s">
        <v>1544</v>
      </c>
      <c r="F278" t="s">
        <v>1575</v>
      </c>
      <c r="G278" s="1">
        <v>39135</v>
      </c>
      <c r="H278" s="1">
        <v>1</v>
      </c>
      <c r="I278" t="s">
        <v>43</v>
      </c>
      <c r="L278" t="s">
        <v>1689</v>
      </c>
      <c r="M278" t="s">
        <v>1690</v>
      </c>
      <c r="N278" t="s">
        <v>1691</v>
      </c>
      <c r="O278" t="s">
        <v>1692</v>
      </c>
      <c r="P278" t="s">
        <v>1693</v>
      </c>
      <c r="Q278" t="s">
        <v>48</v>
      </c>
      <c r="R278" t="s">
        <v>50</v>
      </c>
      <c r="S278" t="s">
        <v>50</v>
      </c>
      <c r="T278" t="s">
        <v>50</v>
      </c>
      <c r="U278" t="s">
        <v>50</v>
      </c>
      <c r="V278" t="s">
        <v>49</v>
      </c>
      <c r="W278" t="s">
        <v>50</v>
      </c>
      <c r="X278" t="s">
        <v>50</v>
      </c>
      <c r="Y278" t="s">
        <v>50</v>
      </c>
      <c r="AD278" t="s">
        <v>49</v>
      </c>
      <c r="AE278">
        <v>10210154</v>
      </c>
      <c r="AF278">
        <v>115920</v>
      </c>
      <c r="AH278" t="s">
        <v>50</v>
      </c>
      <c r="AI278" t="s">
        <v>50</v>
      </c>
      <c r="AJ278" t="s">
        <v>51</v>
      </c>
      <c r="AK278" t="s">
        <v>50</v>
      </c>
      <c r="AM278" t="s">
        <v>49</v>
      </c>
      <c r="AN278" t="s">
        <v>1694</v>
      </c>
    </row>
    <row r="279" spans="1:40" x14ac:dyDescent="0.2">
      <c r="A279">
        <v>4656903</v>
      </c>
      <c r="B279" t="s">
        <v>1580</v>
      </c>
      <c r="C279" t="str">
        <f>"9780071482868"</f>
        <v>9780071482868</v>
      </c>
      <c r="D279" t="str">
        <f>"9780071594370"</f>
        <v>9780071594370</v>
      </c>
      <c r="E279" t="s">
        <v>1544</v>
      </c>
      <c r="F279" t="s">
        <v>1575</v>
      </c>
      <c r="G279" s="1">
        <v>39783</v>
      </c>
      <c r="H279" s="1">
        <v>1</v>
      </c>
      <c r="I279" t="s">
        <v>43</v>
      </c>
      <c r="L279" t="s">
        <v>803</v>
      </c>
      <c r="M279" t="s">
        <v>45</v>
      </c>
      <c r="N279" t="s">
        <v>1695</v>
      </c>
      <c r="O279">
        <v>458.24209999999999</v>
      </c>
      <c r="P279" t="s">
        <v>1648</v>
      </c>
      <c r="Q279" t="s">
        <v>48</v>
      </c>
      <c r="R279" t="s">
        <v>50</v>
      </c>
      <c r="S279" t="s">
        <v>50</v>
      </c>
      <c r="T279" t="s">
        <v>50</v>
      </c>
      <c r="U279" t="s">
        <v>50</v>
      </c>
      <c r="V279" t="s">
        <v>49</v>
      </c>
      <c r="W279" t="s">
        <v>50</v>
      </c>
      <c r="X279" t="s">
        <v>50</v>
      </c>
      <c r="Y279" t="s">
        <v>50</v>
      </c>
      <c r="AD279" t="s">
        <v>49</v>
      </c>
      <c r="AE279">
        <v>10210180</v>
      </c>
      <c r="AF279">
        <v>114213</v>
      </c>
      <c r="AH279" t="s">
        <v>50</v>
      </c>
      <c r="AI279" t="s">
        <v>50</v>
      </c>
      <c r="AJ279" t="s">
        <v>51</v>
      </c>
      <c r="AK279" t="s">
        <v>50</v>
      </c>
      <c r="AM279" t="s">
        <v>49</v>
      </c>
      <c r="AN279" t="s">
        <v>1696</v>
      </c>
    </row>
    <row r="280" spans="1:40" x14ac:dyDescent="0.2">
      <c r="A280">
        <v>4656949</v>
      </c>
      <c r="B280" t="s">
        <v>1697</v>
      </c>
      <c r="C280" t="str">
        <f>"9780071492300"</f>
        <v>9780071492300</v>
      </c>
      <c r="D280" t="str">
        <f>"9780071594950"</f>
        <v>9780071594950</v>
      </c>
      <c r="E280" t="s">
        <v>1544</v>
      </c>
      <c r="F280" t="s">
        <v>1575</v>
      </c>
      <c r="G280" s="1">
        <v>39539</v>
      </c>
      <c r="H280" s="1">
        <v>1</v>
      </c>
      <c r="I280" t="s">
        <v>43</v>
      </c>
      <c r="L280" t="s">
        <v>1698</v>
      </c>
      <c r="M280" t="s">
        <v>45</v>
      </c>
      <c r="N280" t="s">
        <v>1699</v>
      </c>
      <c r="O280" t="s">
        <v>1700</v>
      </c>
      <c r="P280" t="s">
        <v>1701</v>
      </c>
      <c r="Q280" t="s">
        <v>48</v>
      </c>
      <c r="R280" t="s">
        <v>50</v>
      </c>
      <c r="S280" t="s">
        <v>50</v>
      </c>
      <c r="T280" t="s">
        <v>50</v>
      </c>
      <c r="U280" t="s">
        <v>50</v>
      </c>
      <c r="V280" t="s">
        <v>49</v>
      </c>
      <c r="W280" t="s">
        <v>50</v>
      </c>
      <c r="X280" t="s">
        <v>50</v>
      </c>
      <c r="Y280" t="s">
        <v>50</v>
      </c>
      <c r="AD280" t="s">
        <v>49</v>
      </c>
      <c r="AE280">
        <v>10215716</v>
      </c>
      <c r="AF280">
        <v>124058</v>
      </c>
      <c r="AH280" t="s">
        <v>50</v>
      </c>
      <c r="AI280" t="s">
        <v>50</v>
      </c>
      <c r="AJ280" t="s">
        <v>51</v>
      </c>
      <c r="AK280" t="s">
        <v>50</v>
      </c>
      <c r="AM280" t="s">
        <v>49</v>
      </c>
      <c r="AN280" t="s">
        <v>1702</v>
      </c>
    </row>
    <row r="281" spans="1:40" x14ac:dyDescent="0.2">
      <c r="A281">
        <v>4656954</v>
      </c>
      <c r="B281" t="s">
        <v>1703</v>
      </c>
      <c r="C281" t="str">
        <f>"9780071492317"</f>
        <v>9780071492317</v>
      </c>
      <c r="D281" t="str">
        <f>"9780071594967"</f>
        <v>9780071594967</v>
      </c>
      <c r="E281" t="s">
        <v>1544</v>
      </c>
      <c r="F281" t="s">
        <v>1575</v>
      </c>
      <c r="G281" s="1">
        <v>39479</v>
      </c>
      <c r="H281" s="1">
        <v>1</v>
      </c>
      <c r="I281" t="s">
        <v>43</v>
      </c>
      <c r="L281" t="s">
        <v>1704</v>
      </c>
      <c r="M281" t="s">
        <v>1554</v>
      </c>
      <c r="N281" t="s">
        <v>1705</v>
      </c>
      <c r="O281" t="s">
        <v>1706</v>
      </c>
      <c r="P281" t="s">
        <v>1707</v>
      </c>
      <c r="Q281" t="s">
        <v>48</v>
      </c>
      <c r="R281" t="s">
        <v>50</v>
      </c>
      <c r="S281" t="s">
        <v>50</v>
      </c>
      <c r="T281" t="s">
        <v>50</v>
      </c>
      <c r="U281" t="s">
        <v>50</v>
      </c>
      <c r="V281" t="s">
        <v>49</v>
      </c>
      <c r="W281" t="s">
        <v>50</v>
      </c>
      <c r="X281" t="s">
        <v>50</v>
      </c>
      <c r="Y281" t="s">
        <v>50</v>
      </c>
      <c r="AD281" t="s">
        <v>49</v>
      </c>
      <c r="AE281">
        <v>10217850</v>
      </c>
      <c r="AF281">
        <v>124060</v>
      </c>
      <c r="AH281" t="s">
        <v>50</v>
      </c>
      <c r="AI281" t="s">
        <v>50</v>
      </c>
      <c r="AJ281" t="s">
        <v>51</v>
      </c>
      <c r="AK281" t="s">
        <v>50</v>
      </c>
      <c r="AM281" t="s">
        <v>49</v>
      </c>
      <c r="AN281" t="s">
        <v>1708</v>
      </c>
    </row>
    <row r="282" spans="1:40" x14ac:dyDescent="0.2">
      <c r="A282">
        <v>4656959</v>
      </c>
      <c r="B282" t="s">
        <v>1709</v>
      </c>
      <c r="C282" t="str">
        <f>"9780071494762"</f>
        <v>9780071494762</v>
      </c>
      <c r="D282" t="str">
        <f>"9780071642262"</f>
        <v>9780071642262</v>
      </c>
      <c r="E282" t="s">
        <v>1544</v>
      </c>
      <c r="F282" t="s">
        <v>1575</v>
      </c>
      <c r="G282" s="1">
        <v>39558</v>
      </c>
      <c r="H282" s="1">
        <v>1</v>
      </c>
      <c r="I282" t="s">
        <v>43</v>
      </c>
      <c r="K282" t="s">
        <v>1710</v>
      </c>
      <c r="L282" t="s">
        <v>1711</v>
      </c>
      <c r="M282" t="s">
        <v>1554</v>
      </c>
      <c r="N282" t="s">
        <v>1712</v>
      </c>
      <c r="O282" t="s">
        <v>1713</v>
      </c>
      <c r="P282" t="s">
        <v>1714</v>
      </c>
      <c r="Q282" t="s">
        <v>48</v>
      </c>
      <c r="R282" t="s">
        <v>50</v>
      </c>
      <c r="S282" t="s">
        <v>50</v>
      </c>
      <c r="T282" t="s">
        <v>50</v>
      </c>
      <c r="U282" t="s">
        <v>50</v>
      </c>
      <c r="V282" t="s">
        <v>49</v>
      </c>
      <c r="W282" t="s">
        <v>50</v>
      </c>
      <c r="X282" t="s">
        <v>50</v>
      </c>
      <c r="Y282" t="s">
        <v>50</v>
      </c>
      <c r="AD282" t="s">
        <v>49</v>
      </c>
      <c r="AE282">
        <v>10217855</v>
      </c>
      <c r="AF282">
        <v>125339</v>
      </c>
      <c r="AH282" t="s">
        <v>50</v>
      </c>
      <c r="AI282" t="s">
        <v>50</v>
      </c>
      <c r="AJ282" t="s">
        <v>51</v>
      </c>
      <c r="AK282" t="s">
        <v>50</v>
      </c>
      <c r="AM282" t="s">
        <v>49</v>
      </c>
      <c r="AN282" t="s">
        <v>1715</v>
      </c>
    </row>
    <row r="283" spans="1:40" x14ac:dyDescent="0.2">
      <c r="A283">
        <v>4657010</v>
      </c>
      <c r="B283" t="s">
        <v>1716</v>
      </c>
      <c r="C283" t="str">
        <f>"9780071494786"</f>
        <v>9780071494786</v>
      </c>
      <c r="D283" t="str">
        <f>"9780071642286"</f>
        <v>9780071642286</v>
      </c>
      <c r="E283" t="s">
        <v>1544</v>
      </c>
      <c r="F283" t="s">
        <v>1575</v>
      </c>
      <c r="G283" s="1">
        <v>39600</v>
      </c>
      <c r="H283" s="1">
        <v>1</v>
      </c>
      <c r="I283" t="s">
        <v>43</v>
      </c>
      <c r="K283" t="s">
        <v>1710</v>
      </c>
      <c r="L283" t="s">
        <v>1711</v>
      </c>
      <c r="M283" t="s">
        <v>1554</v>
      </c>
      <c r="N283" t="s">
        <v>1717</v>
      </c>
      <c r="O283">
        <v>468.34210245999998</v>
      </c>
      <c r="P283" t="s">
        <v>1718</v>
      </c>
      <c r="Q283" t="s">
        <v>48</v>
      </c>
      <c r="R283" t="s">
        <v>50</v>
      </c>
      <c r="S283" t="s">
        <v>50</v>
      </c>
      <c r="T283" t="s">
        <v>50</v>
      </c>
      <c r="U283" t="s">
        <v>50</v>
      </c>
      <c r="V283" t="s">
        <v>49</v>
      </c>
      <c r="W283" t="s">
        <v>50</v>
      </c>
      <c r="X283" t="s">
        <v>50</v>
      </c>
      <c r="Y283" t="s">
        <v>50</v>
      </c>
      <c r="AD283" t="s">
        <v>49</v>
      </c>
      <c r="AE283">
        <v>10223864</v>
      </c>
      <c r="AF283">
        <v>133325</v>
      </c>
      <c r="AH283" t="s">
        <v>50</v>
      </c>
      <c r="AI283" t="s">
        <v>50</v>
      </c>
      <c r="AJ283" t="s">
        <v>51</v>
      </c>
      <c r="AK283" t="s">
        <v>50</v>
      </c>
      <c r="AM283" t="s">
        <v>49</v>
      </c>
      <c r="AN283" t="s">
        <v>1719</v>
      </c>
    </row>
    <row r="284" spans="1:40" x14ac:dyDescent="0.2">
      <c r="A284">
        <v>4657011</v>
      </c>
      <c r="B284" t="s">
        <v>1580</v>
      </c>
      <c r="C284" t="str">
        <f>"9780071472685"</f>
        <v>9780071472685</v>
      </c>
      <c r="D284" t="str">
        <f>"9780071642248"</f>
        <v>9780071642248</v>
      </c>
      <c r="E284" t="s">
        <v>1544</v>
      </c>
      <c r="F284" t="s">
        <v>1575</v>
      </c>
      <c r="G284" s="1">
        <v>39572</v>
      </c>
      <c r="H284" s="1">
        <v>1</v>
      </c>
      <c r="I284" t="s">
        <v>43</v>
      </c>
      <c r="K284" t="s">
        <v>1580</v>
      </c>
      <c r="L284" t="s">
        <v>1720</v>
      </c>
      <c r="M284" t="s">
        <v>1554</v>
      </c>
      <c r="N284" t="s">
        <v>1721</v>
      </c>
      <c r="O284">
        <v>468.24209999999999</v>
      </c>
      <c r="P284" t="s">
        <v>1665</v>
      </c>
      <c r="Q284" t="s">
        <v>48</v>
      </c>
      <c r="R284" t="s">
        <v>50</v>
      </c>
      <c r="S284" t="s">
        <v>50</v>
      </c>
      <c r="T284" t="s">
        <v>50</v>
      </c>
      <c r="U284" t="s">
        <v>50</v>
      </c>
      <c r="V284" t="s">
        <v>49</v>
      </c>
      <c r="W284" t="s">
        <v>50</v>
      </c>
      <c r="X284" t="s">
        <v>50</v>
      </c>
      <c r="Y284" t="s">
        <v>50</v>
      </c>
      <c r="AD284" t="s">
        <v>49</v>
      </c>
      <c r="AE284">
        <v>10223865</v>
      </c>
      <c r="AF284">
        <v>133323</v>
      </c>
      <c r="AH284" t="s">
        <v>50</v>
      </c>
      <c r="AI284" t="s">
        <v>50</v>
      </c>
      <c r="AJ284" t="s">
        <v>51</v>
      </c>
      <c r="AK284" t="s">
        <v>50</v>
      </c>
      <c r="AM284" t="s">
        <v>49</v>
      </c>
      <c r="AN284" t="s">
        <v>1722</v>
      </c>
    </row>
    <row r="285" spans="1:40" x14ac:dyDescent="0.2">
      <c r="A285">
        <v>4657036</v>
      </c>
      <c r="B285" t="s">
        <v>1723</v>
      </c>
      <c r="C285" t="str">
        <f>"9780071494779"</f>
        <v>9780071494779</v>
      </c>
      <c r="D285" t="str">
        <f>"9780071642279"</f>
        <v>9780071642279</v>
      </c>
      <c r="E285" t="s">
        <v>1544</v>
      </c>
      <c r="F285" t="s">
        <v>1575</v>
      </c>
      <c r="G285" s="1">
        <v>39558</v>
      </c>
      <c r="H285" s="1">
        <v>1</v>
      </c>
      <c r="I285" t="s">
        <v>43</v>
      </c>
      <c r="K285" t="s">
        <v>1710</v>
      </c>
      <c r="L285" t="s">
        <v>1724</v>
      </c>
      <c r="M285" t="s">
        <v>1554</v>
      </c>
      <c r="N285" t="s">
        <v>1725</v>
      </c>
      <c r="O285" t="s">
        <v>1726</v>
      </c>
      <c r="P285" t="s">
        <v>1727</v>
      </c>
      <c r="Q285" t="s">
        <v>48</v>
      </c>
      <c r="R285" t="s">
        <v>50</v>
      </c>
      <c r="S285" t="s">
        <v>50</v>
      </c>
      <c r="T285" t="s">
        <v>50</v>
      </c>
      <c r="U285" t="s">
        <v>50</v>
      </c>
      <c r="V285" t="s">
        <v>49</v>
      </c>
      <c r="W285" t="s">
        <v>50</v>
      </c>
      <c r="X285" t="s">
        <v>50</v>
      </c>
      <c r="Y285" t="s">
        <v>50</v>
      </c>
      <c r="AD285" t="s">
        <v>49</v>
      </c>
      <c r="AE285">
        <v>10225170</v>
      </c>
      <c r="AF285">
        <v>133324</v>
      </c>
      <c r="AH285" t="s">
        <v>50</v>
      </c>
      <c r="AI285" t="s">
        <v>50</v>
      </c>
      <c r="AJ285" t="s">
        <v>51</v>
      </c>
      <c r="AK285" t="s">
        <v>50</v>
      </c>
      <c r="AM285" t="s">
        <v>49</v>
      </c>
      <c r="AN285" t="s">
        <v>1728</v>
      </c>
    </row>
    <row r="286" spans="1:40" x14ac:dyDescent="0.2">
      <c r="A286">
        <v>4657084</v>
      </c>
      <c r="B286" t="s">
        <v>1729</v>
      </c>
      <c r="C286" t="str">
        <f>"9780071547581"</f>
        <v>9780071547581</v>
      </c>
      <c r="D286" t="str">
        <f>"9780071547611"</f>
        <v>9780071547611</v>
      </c>
      <c r="E286" t="s">
        <v>1544</v>
      </c>
      <c r="F286" t="s">
        <v>1544</v>
      </c>
      <c r="G286" s="1">
        <v>39569</v>
      </c>
      <c r="H286" s="1">
        <v>1</v>
      </c>
      <c r="I286" t="s">
        <v>43</v>
      </c>
      <c r="L286" t="s">
        <v>1730</v>
      </c>
      <c r="M286" t="s">
        <v>1554</v>
      </c>
      <c r="N286" t="s">
        <v>1731</v>
      </c>
      <c r="O286">
        <v>468</v>
      </c>
      <c r="P286" t="s">
        <v>1665</v>
      </c>
      <c r="Q286" t="s">
        <v>48</v>
      </c>
      <c r="R286" t="s">
        <v>50</v>
      </c>
      <c r="S286" t="s">
        <v>50</v>
      </c>
      <c r="T286" t="s">
        <v>50</v>
      </c>
      <c r="U286" t="s">
        <v>50</v>
      </c>
      <c r="V286" t="s">
        <v>49</v>
      </c>
      <c r="W286" t="s">
        <v>50</v>
      </c>
      <c r="X286" t="s">
        <v>50</v>
      </c>
      <c r="Y286" t="s">
        <v>50</v>
      </c>
      <c r="AD286" t="s">
        <v>49</v>
      </c>
      <c r="AE286">
        <v>10233330</v>
      </c>
      <c r="AF286">
        <v>139643</v>
      </c>
      <c r="AH286" t="s">
        <v>50</v>
      </c>
      <c r="AI286" t="s">
        <v>50</v>
      </c>
      <c r="AJ286" t="s">
        <v>51</v>
      </c>
      <c r="AK286" t="s">
        <v>50</v>
      </c>
      <c r="AM286" t="s">
        <v>49</v>
      </c>
      <c r="AN286" t="s">
        <v>1732</v>
      </c>
    </row>
    <row r="287" spans="1:40" x14ac:dyDescent="0.2">
      <c r="A287">
        <v>4657141</v>
      </c>
      <c r="B287" t="s">
        <v>1733</v>
      </c>
      <c r="C287" t="str">
        <f>"9780071493727"</f>
        <v>9780071493727</v>
      </c>
      <c r="D287" t="str">
        <f>"9780071642767"</f>
        <v>9780071642767</v>
      </c>
      <c r="E287" t="s">
        <v>1544</v>
      </c>
      <c r="F287" t="s">
        <v>1575</v>
      </c>
      <c r="G287" s="1">
        <v>39661</v>
      </c>
      <c r="H287" s="1">
        <v>1</v>
      </c>
      <c r="I287" t="s">
        <v>43</v>
      </c>
      <c r="L287" t="s">
        <v>1734</v>
      </c>
      <c r="M287" t="s">
        <v>379</v>
      </c>
      <c r="N287" t="s">
        <v>1735</v>
      </c>
      <c r="O287">
        <v>610.73</v>
      </c>
      <c r="P287" t="s">
        <v>1736</v>
      </c>
      <c r="Q287" t="s">
        <v>48</v>
      </c>
      <c r="R287" t="s">
        <v>50</v>
      </c>
      <c r="S287" t="s">
        <v>50</v>
      </c>
      <c r="T287" t="s">
        <v>50</v>
      </c>
      <c r="U287" t="s">
        <v>50</v>
      </c>
      <c r="V287" t="s">
        <v>49</v>
      </c>
      <c r="W287" t="s">
        <v>50</v>
      </c>
      <c r="X287" t="s">
        <v>50</v>
      </c>
      <c r="Y287" t="s">
        <v>50</v>
      </c>
      <c r="AD287" t="s">
        <v>49</v>
      </c>
      <c r="AE287">
        <v>10246367</v>
      </c>
      <c r="AF287">
        <v>176174</v>
      </c>
      <c r="AH287" t="s">
        <v>50</v>
      </c>
      <c r="AI287" t="s">
        <v>50</v>
      </c>
      <c r="AJ287" t="s">
        <v>51</v>
      </c>
      <c r="AK287" t="s">
        <v>50</v>
      </c>
      <c r="AM287" t="s">
        <v>49</v>
      </c>
      <c r="AN287" t="s">
        <v>1737</v>
      </c>
    </row>
    <row r="288" spans="1:40" x14ac:dyDescent="0.2">
      <c r="A288">
        <v>4657156</v>
      </c>
      <c r="B288" t="s">
        <v>1738</v>
      </c>
      <c r="C288" t="str">
        <f>"9780071543910"</f>
        <v>9780071543910</v>
      </c>
      <c r="D288" t="str">
        <f>"9780071543927"</f>
        <v>9780071543927</v>
      </c>
      <c r="E288" t="s">
        <v>1544</v>
      </c>
      <c r="F288" t="s">
        <v>1575</v>
      </c>
      <c r="G288" s="1">
        <v>40148</v>
      </c>
      <c r="H288" s="1">
        <v>1</v>
      </c>
      <c r="I288" t="s">
        <v>43</v>
      </c>
      <c r="J288">
        <v>3</v>
      </c>
      <c r="K288" t="s">
        <v>1595</v>
      </c>
      <c r="L288" t="s">
        <v>1739</v>
      </c>
      <c r="M288" t="s">
        <v>1554</v>
      </c>
      <c r="N288" t="s">
        <v>1740</v>
      </c>
      <c r="O288" t="s">
        <v>986</v>
      </c>
      <c r="P288" t="s">
        <v>1741</v>
      </c>
      <c r="Q288" t="s">
        <v>48</v>
      </c>
      <c r="R288" t="s">
        <v>50</v>
      </c>
      <c r="S288" t="s">
        <v>50</v>
      </c>
      <c r="T288" t="s">
        <v>50</v>
      </c>
      <c r="U288" t="s">
        <v>50</v>
      </c>
      <c r="V288" t="s">
        <v>49</v>
      </c>
      <c r="W288" t="s">
        <v>50</v>
      </c>
      <c r="X288" t="s">
        <v>50</v>
      </c>
      <c r="Y288" t="s">
        <v>50</v>
      </c>
      <c r="AD288" t="s">
        <v>49</v>
      </c>
      <c r="AE288">
        <v>10251568</v>
      </c>
      <c r="AF288">
        <v>184546</v>
      </c>
      <c r="AH288" t="s">
        <v>50</v>
      </c>
      <c r="AI288" t="s">
        <v>50</v>
      </c>
      <c r="AJ288" t="s">
        <v>51</v>
      </c>
      <c r="AK288" t="s">
        <v>50</v>
      </c>
      <c r="AM288" t="s">
        <v>49</v>
      </c>
      <c r="AN288" t="s">
        <v>1742</v>
      </c>
    </row>
    <row r="289" spans="1:40" x14ac:dyDescent="0.2">
      <c r="A289">
        <v>4657157</v>
      </c>
      <c r="B289" t="s">
        <v>1743</v>
      </c>
      <c r="C289" t="str">
        <f>"9780071493239"</f>
        <v>9780071493239</v>
      </c>
      <c r="D289" t="str">
        <f>"9780071642750"</f>
        <v>9780071642750</v>
      </c>
      <c r="E289" t="s">
        <v>1544</v>
      </c>
      <c r="F289" t="s">
        <v>1575</v>
      </c>
      <c r="G289" s="1">
        <v>39661</v>
      </c>
      <c r="H289" s="1">
        <v>1</v>
      </c>
      <c r="I289" t="s">
        <v>43</v>
      </c>
      <c r="K289" t="s">
        <v>1743</v>
      </c>
      <c r="L289" t="s">
        <v>1744</v>
      </c>
      <c r="M289" t="s">
        <v>1745</v>
      </c>
      <c r="N289" t="s">
        <v>1746</v>
      </c>
      <c r="O289" t="s">
        <v>1747</v>
      </c>
      <c r="P289" t="s">
        <v>1748</v>
      </c>
      <c r="Q289" t="s">
        <v>48</v>
      </c>
      <c r="R289" t="s">
        <v>50</v>
      </c>
      <c r="S289" t="s">
        <v>50</v>
      </c>
      <c r="T289" t="s">
        <v>50</v>
      </c>
      <c r="U289" t="s">
        <v>50</v>
      </c>
      <c r="V289" t="s">
        <v>49</v>
      </c>
      <c r="W289" t="s">
        <v>50</v>
      </c>
      <c r="X289" t="s">
        <v>50</v>
      </c>
      <c r="Y289" t="s">
        <v>50</v>
      </c>
      <c r="AD289" t="s">
        <v>49</v>
      </c>
      <c r="AE289">
        <v>10251569</v>
      </c>
      <c r="AF289">
        <v>176173</v>
      </c>
      <c r="AH289" t="s">
        <v>50</v>
      </c>
      <c r="AI289" t="s">
        <v>50</v>
      </c>
      <c r="AJ289" t="s">
        <v>51</v>
      </c>
      <c r="AK289" t="s">
        <v>50</v>
      </c>
      <c r="AM289" t="s">
        <v>49</v>
      </c>
      <c r="AN289" t="s">
        <v>1749</v>
      </c>
    </row>
    <row r="290" spans="1:40" x14ac:dyDescent="0.2">
      <c r="A290">
        <v>4657165</v>
      </c>
      <c r="B290" t="s">
        <v>1750</v>
      </c>
      <c r="C290" t="str">
        <f>"9780071494755"</f>
        <v>9780071494755</v>
      </c>
      <c r="D290" t="str">
        <f>"9780071642255"</f>
        <v>9780071642255</v>
      </c>
      <c r="E290" t="s">
        <v>1544</v>
      </c>
      <c r="F290" t="s">
        <v>1575</v>
      </c>
      <c r="G290" s="1">
        <v>39630</v>
      </c>
      <c r="H290" s="1">
        <v>1</v>
      </c>
      <c r="I290" t="s">
        <v>43</v>
      </c>
      <c r="K290" t="s">
        <v>1710</v>
      </c>
      <c r="L290" t="s">
        <v>1711</v>
      </c>
      <c r="M290" t="s">
        <v>1554</v>
      </c>
      <c r="N290" t="s">
        <v>1751</v>
      </c>
      <c r="O290" t="s">
        <v>1752</v>
      </c>
      <c r="P290" t="s">
        <v>1753</v>
      </c>
      <c r="Q290" t="s">
        <v>48</v>
      </c>
      <c r="R290" t="s">
        <v>50</v>
      </c>
      <c r="S290" t="s">
        <v>50</v>
      </c>
      <c r="T290" t="s">
        <v>50</v>
      </c>
      <c r="U290" t="s">
        <v>50</v>
      </c>
      <c r="V290" t="s">
        <v>49</v>
      </c>
      <c r="W290" t="s">
        <v>50</v>
      </c>
      <c r="X290" t="s">
        <v>50</v>
      </c>
      <c r="Y290" t="s">
        <v>50</v>
      </c>
      <c r="AD290" t="s">
        <v>49</v>
      </c>
      <c r="AE290">
        <v>10251578</v>
      </c>
      <c r="AF290">
        <v>176171</v>
      </c>
      <c r="AH290" t="s">
        <v>50</v>
      </c>
      <c r="AI290" t="s">
        <v>50</v>
      </c>
      <c r="AJ290" t="s">
        <v>51</v>
      </c>
      <c r="AK290" t="s">
        <v>50</v>
      </c>
      <c r="AM290" t="s">
        <v>49</v>
      </c>
      <c r="AN290" t="s">
        <v>1754</v>
      </c>
    </row>
    <row r="291" spans="1:40" x14ac:dyDescent="0.2">
      <c r="A291">
        <v>4657241</v>
      </c>
      <c r="B291" t="s">
        <v>1743</v>
      </c>
      <c r="C291" t="str">
        <f>"9780071493970"</f>
        <v>9780071493970</v>
      </c>
      <c r="D291" t="str">
        <f>"9780071642774"</f>
        <v>9780071642774</v>
      </c>
      <c r="E291" t="s">
        <v>1544</v>
      </c>
      <c r="F291" t="s">
        <v>1575</v>
      </c>
      <c r="G291" s="1">
        <v>40148</v>
      </c>
      <c r="H291" s="1">
        <v>1</v>
      </c>
      <c r="I291" t="s">
        <v>43</v>
      </c>
      <c r="K291" t="s">
        <v>1743</v>
      </c>
      <c r="L291" t="s">
        <v>1755</v>
      </c>
      <c r="M291" t="s">
        <v>682</v>
      </c>
      <c r="N291" t="s">
        <v>1756</v>
      </c>
      <c r="O291">
        <v>617.1</v>
      </c>
      <c r="P291" t="s">
        <v>1757</v>
      </c>
      <c r="Q291" t="s">
        <v>48</v>
      </c>
      <c r="R291" t="s">
        <v>50</v>
      </c>
      <c r="S291" t="s">
        <v>50</v>
      </c>
      <c r="T291" t="s">
        <v>50</v>
      </c>
      <c r="U291" t="s">
        <v>50</v>
      </c>
      <c r="V291" t="s">
        <v>49</v>
      </c>
      <c r="W291" t="s">
        <v>50</v>
      </c>
      <c r="X291" t="s">
        <v>50</v>
      </c>
      <c r="Y291" t="s">
        <v>50</v>
      </c>
      <c r="AD291" t="s">
        <v>49</v>
      </c>
      <c r="AE291">
        <v>10251655</v>
      </c>
      <c r="AF291">
        <v>180555</v>
      </c>
      <c r="AH291" t="s">
        <v>50</v>
      </c>
      <c r="AI291" t="s">
        <v>50</v>
      </c>
      <c r="AJ291" t="s">
        <v>51</v>
      </c>
      <c r="AK291" t="s">
        <v>50</v>
      </c>
      <c r="AM291" t="s">
        <v>49</v>
      </c>
      <c r="AN291" t="s">
        <v>1758</v>
      </c>
    </row>
    <row r="292" spans="1:40" x14ac:dyDescent="0.2">
      <c r="A292">
        <v>4657257</v>
      </c>
      <c r="B292" t="s">
        <v>1759</v>
      </c>
      <c r="C292" t="str">
        <f>"9780071549271"</f>
        <v>9780071549271</v>
      </c>
      <c r="D292" t="str">
        <f>"9780071549288"</f>
        <v>9780071549288</v>
      </c>
      <c r="E292" t="s">
        <v>1544</v>
      </c>
      <c r="F292" t="s">
        <v>1575</v>
      </c>
      <c r="G292" s="1">
        <v>36526</v>
      </c>
      <c r="H292" s="1">
        <v>1</v>
      </c>
      <c r="I292" t="s">
        <v>43</v>
      </c>
      <c r="L292" t="s">
        <v>1760</v>
      </c>
      <c r="M292" t="s">
        <v>58</v>
      </c>
      <c r="N292" t="s">
        <v>1761</v>
      </c>
      <c r="O292" t="s">
        <v>1762</v>
      </c>
      <c r="P292" t="s">
        <v>1763</v>
      </c>
      <c r="Q292" t="s">
        <v>48</v>
      </c>
      <c r="R292" t="s">
        <v>50</v>
      </c>
      <c r="S292" t="s">
        <v>50</v>
      </c>
      <c r="T292" t="s">
        <v>50</v>
      </c>
      <c r="U292" t="s">
        <v>50</v>
      </c>
      <c r="V292" t="s">
        <v>49</v>
      </c>
      <c r="W292" t="s">
        <v>50</v>
      </c>
      <c r="X292" t="s">
        <v>50</v>
      </c>
      <c r="Y292" t="s">
        <v>50</v>
      </c>
      <c r="AD292" t="s">
        <v>49</v>
      </c>
      <c r="AE292">
        <v>10254534</v>
      </c>
      <c r="AF292">
        <v>180044</v>
      </c>
      <c r="AH292" t="s">
        <v>50</v>
      </c>
      <c r="AI292" t="s">
        <v>50</v>
      </c>
      <c r="AJ292" t="s">
        <v>51</v>
      </c>
      <c r="AK292" t="s">
        <v>50</v>
      </c>
      <c r="AM292" t="s">
        <v>49</v>
      </c>
      <c r="AN292" t="s">
        <v>1764</v>
      </c>
    </row>
    <row r="293" spans="1:40" x14ac:dyDescent="0.2">
      <c r="A293">
        <v>4657273</v>
      </c>
      <c r="B293" t="s">
        <v>1765</v>
      </c>
      <c r="C293" t="str">
        <f>"9780071546010"</f>
        <v>9780071546010</v>
      </c>
      <c r="D293" t="str">
        <f>"9780071546027"</f>
        <v>9780071546027</v>
      </c>
      <c r="E293" t="s">
        <v>1544</v>
      </c>
      <c r="F293" t="s">
        <v>1575</v>
      </c>
      <c r="G293" s="1">
        <v>39752</v>
      </c>
      <c r="H293" s="1">
        <v>1</v>
      </c>
      <c r="I293" t="s">
        <v>43</v>
      </c>
      <c r="L293" t="s">
        <v>1766</v>
      </c>
      <c r="M293" t="s">
        <v>711</v>
      </c>
      <c r="N293" t="s">
        <v>1767</v>
      </c>
      <c r="O293">
        <v>721.04669999999999</v>
      </c>
      <c r="P293" t="s">
        <v>1768</v>
      </c>
      <c r="Q293" t="s">
        <v>48</v>
      </c>
      <c r="R293" t="s">
        <v>50</v>
      </c>
      <c r="S293" t="s">
        <v>50</v>
      </c>
      <c r="T293" t="s">
        <v>50</v>
      </c>
      <c r="U293" t="s">
        <v>50</v>
      </c>
      <c r="V293" t="s">
        <v>49</v>
      </c>
      <c r="W293" t="s">
        <v>50</v>
      </c>
      <c r="X293" t="s">
        <v>50</v>
      </c>
      <c r="Y293" t="s">
        <v>50</v>
      </c>
      <c r="AD293" t="s">
        <v>49</v>
      </c>
      <c r="AE293">
        <v>10254550</v>
      </c>
      <c r="AF293">
        <v>180042</v>
      </c>
      <c r="AH293" t="s">
        <v>50</v>
      </c>
      <c r="AI293" t="s">
        <v>50</v>
      </c>
      <c r="AJ293" t="s">
        <v>51</v>
      </c>
      <c r="AK293" t="s">
        <v>50</v>
      </c>
      <c r="AM293" t="s">
        <v>49</v>
      </c>
      <c r="AN293" t="s">
        <v>1769</v>
      </c>
    </row>
    <row r="294" spans="1:40" x14ac:dyDescent="0.2">
      <c r="A294">
        <v>4657349</v>
      </c>
      <c r="B294" t="s">
        <v>1770</v>
      </c>
      <c r="C294" t="str">
        <f>"9780071453899"</f>
        <v>9780071453899</v>
      </c>
      <c r="D294" t="str">
        <f>"9780071642224"</f>
        <v>9780071642224</v>
      </c>
      <c r="E294" t="s">
        <v>1544</v>
      </c>
      <c r="F294" t="s">
        <v>1575</v>
      </c>
      <c r="G294" s="1">
        <v>39752</v>
      </c>
      <c r="H294" s="1">
        <v>1</v>
      </c>
      <c r="I294" t="s">
        <v>43</v>
      </c>
      <c r="L294" t="s">
        <v>1622</v>
      </c>
      <c r="M294" t="s">
        <v>45</v>
      </c>
      <c r="N294" t="s">
        <v>1771</v>
      </c>
      <c r="O294">
        <v>458.24209999999999</v>
      </c>
      <c r="P294" t="s">
        <v>1598</v>
      </c>
      <c r="Q294" t="s">
        <v>48</v>
      </c>
      <c r="R294" t="s">
        <v>50</v>
      </c>
      <c r="S294" t="s">
        <v>50</v>
      </c>
      <c r="T294" t="s">
        <v>50</v>
      </c>
      <c r="U294" t="s">
        <v>50</v>
      </c>
      <c r="V294" t="s">
        <v>49</v>
      </c>
      <c r="W294" t="s">
        <v>50</v>
      </c>
      <c r="X294" t="s">
        <v>50</v>
      </c>
      <c r="Y294" t="s">
        <v>50</v>
      </c>
      <c r="AD294" t="s">
        <v>49</v>
      </c>
      <c r="AE294">
        <v>10268595</v>
      </c>
      <c r="AF294">
        <v>194752</v>
      </c>
      <c r="AH294" t="s">
        <v>50</v>
      </c>
      <c r="AI294" t="s">
        <v>50</v>
      </c>
      <c r="AJ294" t="s">
        <v>51</v>
      </c>
      <c r="AK294" t="s">
        <v>50</v>
      </c>
      <c r="AM294" t="s">
        <v>49</v>
      </c>
      <c r="AN294" t="s">
        <v>1772</v>
      </c>
    </row>
    <row r="295" spans="1:40" x14ac:dyDescent="0.2">
      <c r="A295">
        <v>4657352</v>
      </c>
      <c r="B295" t="s">
        <v>1580</v>
      </c>
      <c r="C295" t="str">
        <f>"9780071458054"</f>
        <v>9780071458054</v>
      </c>
      <c r="D295" t="str">
        <f>"9780071642231"</f>
        <v>9780071642231</v>
      </c>
      <c r="E295" t="s">
        <v>1544</v>
      </c>
      <c r="F295" t="s">
        <v>1575</v>
      </c>
      <c r="G295" s="1">
        <v>39783</v>
      </c>
      <c r="H295" s="1">
        <v>1</v>
      </c>
      <c r="I295" t="s">
        <v>43</v>
      </c>
      <c r="K295" t="s">
        <v>1580</v>
      </c>
      <c r="L295" t="s">
        <v>1773</v>
      </c>
      <c r="M295" t="s">
        <v>1774</v>
      </c>
      <c r="N295" t="s">
        <v>1775</v>
      </c>
      <c r="O295">
        <v>468.24209999999999</v>
      </c>
      <c r="P295" t="s">
        <v>1665</v>
      </c>
      <c r="Q295" t="s">
        <v>48</v>
      </c>
      <c r="R295" t="s">
        <v>50</v>
      </c>
      <c r="S295" t="s">
        <v>50</v>
      </c>
      <c r="T295" t="s">
        <v>50</v>
      </c>
      <c r="U295" t="s">
        <v>50</v>
      </c>
      <c r="V295" t="s">
        <v>49</v>
      </c>
      <c r="W295" t="s">
        <v>50</v>
      </c>
      <c r="X295" t="s">
        <v>50</v>
      </c>
      <c r="Y295" t="s">
        <v>50</v>
      </c>
      <c r="AD295" t="s">
        <v>49</v>
      </c>
      <c r="AE295">
        <v>10268598</v>
      </c>
      <c r="AF295">
        <v>194753</v>
      </c>
      <c r="AH295" t="s">
        <v>50</v>
      </c>
      <c r="AI295" t="s">
        <v>50</v>
      </c>
      <c r="AJ295" t="s">
        <v>51</v>
      </c>
      <c r="AK295" t="s">
        <v>50</v>
      </c>
      <c r="AM295" t="s">
        <v>49</v>
      </c>
      <c r="AN295" t="s">
        <v>1776</v>
      </c>
    </row>
    <row r="296" spans="1:40" x14ac:dyDescent="0.2">
      <c r="A296">
        <v>4657355</v>
      </c>
      <c r="B296" t="s">
        <v>1777</v>
      </c>
      <c r="C296" t="str">
        <f>"9780071453875"</f>
        <v>9780071453875</v>
      </c>
      <c r="D296" t="str">
        <f>"9780071642217"</f>
        <v>9780071642217</v>
      </c>
      <c r="E296" t="s">
        <v>1544</v>
      </c>
      <c r="F296" t="s">
        <v>1575</v>
      </c>
      <c r="G296" s="1">
        <v>39752</v>
      </c>
      <c r="H296" s="1">
        <v>1</v>
      </c>
      <c r="I296" t="s">
        <v>43</v>
      </c>
      <c r="L296" t="s">
        <v>1778</v>
      </c>
      <c r="M296" t="s">
        <v>45</v>
      </c>
      <c r="N296" t="s">
        <v>1779</v>
      </c>
      <c r="O296">
        <v>448.24209999999999</v>
      </c>
      <c r="P296" t="s">
        <v>1780</v>
      </c>
      <c r="Q296" t="s">
        <v>48</v>
      </c>
      <c r="R296" t="s">
        <v>50</v>
      </c>
      <c r="S296" t="s">
        <v>50</v>
      </c>
      <c r="T296" t="s">
        <v>50</v>
      </c>
      <c r="U296" t="s">
        <v>50</v>
      </c>
      <c r="V296" t="s">
        <v>49</v>
      </c>
      <c r="W296" t="s">
        <v>50</v>
      </c>
      <c r="X296" t="s">
        <v>50</v>
      </c>
      <c r="Y296" t="s">
        <v>50</v>
      </c>
      <c r="AD296" t="s">
        <v>49</v>
      </c>
      <c r="AE296">
        <v>10268601</v>
      </c>
      <c r="AF296">
        <v>194751</v>
      </c>
      <c r="AH296" t="s">
        <v>50</v>
      </c>
      <c r="AI296" t="s">
        <v>50</v>
      </c>
      <c r="AJ296" t="s">
        <v>51</v>
      </c>
      <c r="AK296" t="s">
        <v>50</v>
      </c>
      <c r="AM296" t="s">
        <v>49</v>
      </c>
      <c r="AN296" t="s">
        <v>1781</v>
      </c>
    </row>
    <row r="297" spans="1:40" x14ac:dyDescent="0.2">
      <c r="A297">
        <v>4657499</v>
      </c>
      <c r="B297" t="s">
        <v>1782</v>
      </c>
      <c r="C297" t="str">
        <f>"9780071604819"</f>
        <v>9780071604819</v>
      </c>
      <c r="D297" t="str">
        <f>"9780071604826"</f>
        <v>9780071604826</v>
      </c>
      <c r="E297" t="s">
        <v>1544</v>
      </c>
      <c r="F297" t="s">
        <v>1575</v>
      </c>
      <c r="G297" s="1">
        <v>39875</v>
      </c>
      <c r="H297" s="1">
        <v>1</v>
      </c>
      <c r="I297" t="s">
        <v>43</v>
      </c>
      <c r="K297" t="s">
        <v>1710</v>
      </c>
      <c r="L297" t="s">
        <v>1783</v>
      </c>
      <c r="M297" t="s">
        <v>1774</v>
      </c>
      <c r="N297" t="s">
        <v>1784</v>
      </c>
      <c r="O297">
        <v>468.34210000000002</v>
      </c>
      <c r="P297" t="s">
        <v>1741</v>
      </c>
      <c r="Q297" t="s">
        <v>48</v>
      </c>
      <c r="R297" t="s">
        <v>50</v>
      </c>
      <c r="S297" t="s">
        <v>50</v>
      </c>
      <c r="T297" t="s">
        <v>50</v>
      </c>
      <c r="U297" t="s">
        <v>50</v>
      </c>
      <c r="V297" t="s">
        <v>49</v>
      </c>
      <c r="W297" t="s">
        <v>50</v>
      </c>
      <c r="X297" t="s">
        <v>50</v>
      </c>
      <c r="Y297" t="s">
        <v>50</v>
      </c>
      <c r="AD297" t="s">
        <v>49</v>
      </c>
      <c r="AE297">
        <v>10294793</v>
      </c>
      <c r="AF297">
        <v>209383</v>
      </c>
      <c r="AH297" t="s">
        <v>50</v>
      </c>
      <c r="AI297" t="s">
        <v>50</v>
      </c>
      <c r="AJ297" t="s">
        <v>51</v>
      </c>
      <c r="AK297" t="s">
        <v>50</v>
      </c>
      <c r="AM297" t="s">
        <v>49</v>
      </c>
      <c r="AN297" t="s">
        <v>1785</v>
      </c>
    </row>
    <row r="298" spans="1:40" x14ac:dyDescent="0.2">
      <c r="A298">
        <v>4657504</v>
      </c>
      <c r="B298" t="s">
        <v>1786</v>
      </c>
      <c r="C298" t="str">
        <f>"9780071611695"</f>
        <v>9780071611695</v>
      </c>
      <c r="D298" t="str">
        <f>"9780071611688"</f>
        <v>9780071611688</v>
      </c>
      <c r="E298" t="s">
        <v>1544</v>
      </c>
      <c r="F298" t="s">
        <v>1575</v>
      </c>
      <c r="G298" s="1">
        <v>39934</v>
      </c>
      <c r="H298" s="1">
        <v>1</v>
      </c>
      <c r="I298" t="s">
        <v>43</v>
      </c>
      <c r="J298">
        <v>2</v>
      </c>
      <c r="L298" t="s">
        <v>1787</v>
      </c>
      <c r="M298" t="s">
        <v>1774</v>
      </c>
      <c r="N298" t="s">
        <v>1788</v>
      </c>
      <c r="O298" t="s">
        <v>1789</v>
      </c>
      <c r="P298" t="s">
        <v>1790</v>
      </c>
      <c r="Q298" t="s">
        <v>48</v>
      </c>
      <c r="R298" t="s">
        <v>50</v>
      </c>
      <c r="S298" t="s">
        <v>50</v>
      </c>
      <c r="T298" t="s">
        <v>50</v>
      </c>
      <c r="U298" t="s">
        <v>50</v>
      </c>
      <c r="V298" t="s">
        <v>49</v>
      </c>
      <c r="W298" t="s">
        <v>50</v>
      </c>
      <c r="X298" t="s">
        <v>50</v>
      </c>
      <c r="Y298" t="s">
        <v>50</v>
      </c>
      <c r="AD298" t="s">
        <v>49</v>
      </c>
      <c r="AE298">
        <v>10294799</v>
      </c>
      <c r="AF298">
        <v>209385</v>
      </c>
      <c r="AH298" t="s">
        <v>50</v>
      </c>
      <c r="AI298" t="s">
        <v>50</v>
      </c>
      <c r="AJ298" t="s">
        <v>51</v>
      </c>
      <c r="AK298" t="s">
        <v>50</v>
      </c>
      <c r="AM298" t="s">
        <v>49</v>
      </c>
      <c r="AN298" t="s">
        <v>1791</v>
      </c>
    </row>
    <row r="299" spans="1:40" x14ac:dyDescent="0.2">
      <c r="A299">
        <v>4947652</v>
      </c>
      <c r="B299" t="s">
        <v>1792</v>
      </c>
      <c r="C299" t="str">
        <f>"9780313321269"</f>
        <v>9780313321269</v>
      </c>
      <c r="D299" t="str">
        <f>"9780313058370"</f>
        <v>9780313058370</v>
      </c>
      <c r="E299" t="s">
        <v>479</v>
      </c>
      <c r="F299" t="s">
        <v>479</v>
      </c>
      <c r="G299" s="1">
        <v>38231</v>
      </c>
      <c r="H299" s="1">
        <v>1</v>
      </c>
      <c r="I299" t="s">
        <v>43</v>
      </c>
      <c r="K299" t="s">
        <v>1256</v>
      </c>
      <c r="L299" t="s">
        <v>1793</v>
      </c>
      <c r="M299" t="s">
        <v>91</v>
      </c>
      <c r="N299" t="s">
        <v>1794</v>
      </c>
      <c r="O299">
        <v>973.7</v>
      </c>
      <c r="P299" t="s">
        <v>1795</v>
      </c>
      <c r="Q299" t="s">
        <v>48</v>
      </c>
      <c r="R299" t="s">
        <v>50</v>
      </c>
      <c r="S299" t="s">
        <v>50</v>
      </c>
      <c r="T299" t="s">
        <v>50</v>
      </c>
      <c r="U299" t="s">
        <v>49</v>
      </c>
      <c r="V299" t="s">
        <v>49</v>
      </c>
      <c r="W299" t="s">
        <v>50</v>
      </c>
      <c r="X299" t="s">
        <v>49</v>
      </c>
      <c r="Y299" t="s">
        <v>50</v>
      </c>
      <c r="Z299">
        <v>0</v>
      </c>
      <c r="AA299">
        <v>0</v>
      </c>
      <c r="AB299">
        <v>0</v>
      </c>
      <c r="AC299">
        <v>0</v>
      </c>
      <c r="AD299" t="s">
        <v>50</v>
      </c>
      <c r="AF299">
        <v>110651</v>
      </c>
      <c r="AH299" t="s">
        <v>50</v>
      </c>
      <c r="AI299" t="s">
        <v>50</v>
      </c>
      <c r="AJ299" t="s">
        <v>51</v>
      </c>
      <c r="AK299" t="s">
        <v>50</v>
      </c>
      <c r="AM299" t="s">
        <v>49</v>
      </c>
      <c r="AN299" t="s">
        <v>1796</v>
      </c>
    </row>
    <row r="300" spans="1:40" x14ac:dyDescent="0.2">
      <c r="A300">
        <v>4947663</v>
      </c>
      <c r="B300" t="s">
        <v>1797</v>
      </c>
      <c r="C300" t="str">
        <f>"9780313320972"</f>
        <v>9780313320972</v>
      </c>
      <c r="D300" t="str">
        <f>"9780313058363"</f>
        <v>9780313058363</v>
      </c>
      <c r="E300" t="s">
        <v>479</v>
      </c>
      <c r="F300" t="s">
        <v>479</v>
      </c>
      <c r="G300" s="1">
        <v>36774</v>
      </c>
      <c r="H300" s="1">
        <v>1</v>
      </c>
      <c r="I300" t="s">
        <v>43</v>
      </c>
      <c r="K300" t="s">
        <v>1256</v>
      </c>
      <c r="L300" t="s">
        <v>1798</v>
      </c>
      <c r="M300" t="s">
        <v>91</v>
      </c>
      <c r="N300">
        <v>2003027518</v>
      </c>
      <c r="O300">
        <v>973.8</v>
      </c>
      <c r="P300" t="s">
        <v>1799</v>
      </c>
      <c r="Q300" t="s">
        <v>48</v>
      </c>
      <c r="R300" t="s">
        <v>50</v>
      </c>
      <c r="S300" t="s">
        <v>50</v>
      </c>
      <c r="T300" t="s">
        <v>50</v>
      </c>
      <c r="U300" t="s">
        <v>49</v>
      </c>
      <c r="V300" t="s">
        <v>49</v>
      </c>
      <c r="W300" t="s">
        <v>50</v>
      </c>
      <c r="X300" t="s">
        <v>49</v>
      </c>
      <c r="Y300" t="s">
        <v>50</v>
      </c>
      <c r="Z300">
        <v>0</v>
      </c>
      <c r="AA300">
        <v>0</v>
      </c>
      <c r="AB300">
        <v>0</v>
      </c>
      <c r="AC300">
        <v>0</v>
      </c>
      <c r="AD300" t="s">
        <v>50</v>
      </c>
      <c r="AF300">
        <v>111042</v>
      </c>
      <c r="AH300" t="s">
        <v>50</v>
      </c>
      <c r="AI300" t="s">
        <v>50</v>
      </c>
      <c r="AJ300" t="s">
        <v>51</v>
      </c>
      <c r="AK300" t="s">
        <v>50</v>
      </c>
      <c r="AM300" t="s">
        <v>49</v>
      </c>
      <c r="AN300" t="s">
        <v>1800</v>
      </c>
    </row>
    <row r="301" spans="1:40" x14ac:dyDescent="0.2">
      <c r="A301">
        <v>4947671</v>
      </c>
      <c r="B301" t="s">
        <v>1801</v>
      </c>
      <c r="C301" t="str">
        <f>"9780313320842"</f>
        <v>9780313320842</v>
      </c>
      <c r="D301" t="str">
        <f>"9780313058349"</f>
        <v>9780313058349</v>
      </c>
      <c r="E301" t="s">
        <v>479</v>
      </c>
      <c r="F301" t="s">
        <v>479</v>
      </c>
      <c r="G301" s="1">
        <v>38351</v>
      </c>
      <c r="H301" s="1">
        <v>1</v>
      </c>
      <c r="I301" t="s">
        <v>43</v>
      </c>
      <c r="K301" t="s">
        <v>1256</v>
      </c>
      <c r="L301" t="s">
        <v>1802</v>
      </c>
      <c r="M301" t="s">
        <v>91</v>
      </c>
      <c r="N301" t="s">
        <v>1803</v>
      </c>
      <c r="O301">
        <v>973.4</v>
      </c>
      <c r="P301" t="s">
        <v>1804</v>
      </c>
      <c r="Q301" t="s">
        <v>48</v>
      </c>
      <c r="R301" t="s">
        <v>50</v>
      </c>
      <c r="S301" t="s">
        <v>50</v>
      </c>
      <c r="T301" t="s">
        <v>50</v>
      </c>
      <c r="U301" t="s">
        <v>49</v>
      </c>
      <c r="V301" t="s">
        <v>49</v>
      </c>
      <c r="W301" t="s">
        <v>50</v>
      </c>
      <c r="X301" t="s">
        <v>49</v>
      </c>
      <c r="Y301" t="s">
        <v>50</v>
      </c>
      <c r="Z301">
        <v>0</v>
      </c>
      <c r="AA301">
        <v>0</v>
      </c>
      <c r="AB301">
        <v>0</v>
      </c>
      <c r="AC301">
        <v>0</v>
      </c>
      <c r="AD301" t="s">
        <v>50</v>
      </c>
      <c r="AF301">
        <v>111079</v>
      </c>
      <c r="AH301" t="s">
        <v>50</v>
      </c>
      <c r="AI301" t="s">
        <v>50</v>
      </c>
      <c r="AJ301" t="s">
        <v>51</v>
      </c>
      <c r="AK301" t="s">
        <v>50</v>
      </c>
      <c r="AM301" t="s">
        <v>49</v>
      </c>
      <c r="AN301" t="s">
        <v>1805</v>
      </c>
    </row>
    <row r="302" spans="1:40" x14ac:dyDescent="0.2">
      <c r="A302">
        <v>4947791</v>
      </c>
      <c r="B302" t="s">
        <v>1806</v>
      </c>
      <c r="C302" t="str">
        <f>"9780814473177"</f>
        <v>9780814473177</v>
      </c>
      <c r="D302" t="str">
        <f>"9780814429587"</f>
        <v>9780814429587</v>
      </c>
      <c r="E302" t="s">
        <v>1807</v>
      </c>
      <c r="F302" t="s">
        <v>1807</v>
      </c>
      <c r="G302" s="1">
        <v>39052</v>
      </c>
      <c r="H302" s="1">
        <v>43985</v>
      </c>
      <c r="I302" t="s">
        <v>43</v>
      </c>
      <c r="J302">
        <v>1</v>
      </c>
      <c r="L302" t="s">
        <v>1808</v>
      </c>
      <c r="M302" t="s">
        <v>234</v>
      </c>
      <c r="N302" t="s">
        <v>1809</v>
      </c>
      <c r="O302">
        <v>363.25022999999999</v>
      </c>
      <c r="Q302" t="s">
        <v>48</v>
      </c>
      <c r="R302" t="s">
        <v>50</v>
      </c>
      <c r="S302" t="s">
        <v>50</v>
      </c>
      <c r="T302" t="s">
        <v>50</v>
      </c>
      <c r="U302" t="s">
        <v>49</v>
      </c>
      <c r="V302" t="s">
        <v>49</v>
      </c>
      <c r="W302" t="s">
        <v>50</v>
      </c>
      <c r="X302" t="s">
        <v>49</v>
      </c>
      <c r="Y302" t="s">
        <v>50</v>
      </c>
      <c r="Z302">
        <v>0</v>
      </c>
      <c r="AA302">
        <v>0</v>
      </c>
      <c r="AB302">
        <v>0</v>
      </c>
      <c r="AC302">
        <v>0</v>
      </c>
      <c r="AD302" t="s">
        <v>50</v>
      </c>
      <c r="AF302">
        <v>112834</v>
      </c>
      <c r="AH302" t="s">
        <v>50</v>
      </c>
      <c r="AI302" t="s">
        <v>50</v>
      </c>
      <c r="AJ302" t="s">
        <v>51</v>
      </c>
      <c r="AK302" t="s">
        <v>50</v>
      </c>
      <c r="AM302" t="s">
        <v>49</v>
      </c>
      <c r="AN302" t="s">
        <v>1810</v>
      </c>
    </row>
    <row r="303" spans="1:40" x14ac:dyDescent="0.2">
      <c r="A303">
        <v>4949276</v>
      </c>
      <c r="B303" t="s">
        <v>1811</v>
      </c>
      <c r="C303" t="str">
        <f>"9780865166455"</f>
        <v>9780865166455</v>
      </c>
      <c r="D303" t="str">
        <f>"9780865166226"</f>
        <v>9780865166226</v>
      </c>
      <c r="E303" t="s">
        <v>1812</v>
      </c>
      <c r="F303" t="s">
        <v>1812</v>
      </c>
      <c r="G303" s="1">
        <v>39185</v>
      </c>
      <c r="H303" s="1">
        <v>1</v>
      </c>
      <c r="I303" t="s">
        <v>43</v>
      </c>
      <c r="J303">
        <v>4</v>
      </c>
      <c r="L303" t="s">
        <v>1813</v>
      </c>
      <c r="M303" t="s">
        <v>45</v>
      </c>
      <c r="O303">
        <v>478.34210000000002</v>
      </c>
      <c r="Q303" t="s">
        <v>48</v>
      </c>
      <c r="R303" t="s">
        <v>50</v>
      </c>
      <c r="S303" t="s">
        <v>50</v>
      </c>
      <c r="T303" t="s">
        <v>50</v>
      </c>
      <c r="U303" t="s">
        <v>49</v>
      </c>
      <c r="V303" t="s">
        <v>49</v>
      </c>
      <c r="W303" t="s">
        <v>50</v>
      </c>
      <c r="X303" t="s">
        <v>49</v>
      </c>
      <c r="Y303" t="s">
        <v>50</v>
      </c>
      <c r="Z303">
        <v>0</v>
      </c>
      <c r="AA303">
        <v>0</v>
      </c>
      <c r="AB303">
        <v>0</v>
      </c>
      <c r="AC303">
        <v>0</v>
      </c>
      <c r="AD303" t="s">
        <v>50</v>
      </c>
      <c r="AF303">
        <v>96931</v>
      </c>
      <c r="AH303" t="s">
        <v>50</v>
      </c>
      <c r="AI303" t="s">
        <v>50</v>
      </c>
      <c r="AJ303" t="s">
        <v>51</v>
      </c>
      <c r="AK303" t="s">
        <v>50</v>
      </c>
      <c r="AM303" t="s">
        <v>49</v>
      </c>
      <c r="AN303" t="s">
        <v>1814</v>
      </c>
    </row>
    <row r="304" spans="1:40" x14ac:dyDescent="0.2">
      <c r="A304">
        <v>4954029</v>
      </c>
      <c r="B304" t="s">
        <v>1815</v>
      </c>
      <c r="C304" t="str">
        <f>"9780497906696"</f>
        <v>9780497906696</v>
      </c>
      <c r="D304" t="str">
        <f>"9781281459053"</f>
        <v>9781281459053</v>
      </c>
      <c r="E304" t="s">
        <v>1816</v>
      </c>
      <c r="F304" t="s">
        <v>1816</v>
      </c>
      <c r="G304" s="1">
        <v>39000</v>
      </c>
      <c r="H304" s="1">
        <v>44699</v>
      </c>
      <c r="I304" t="s">
        <v>43</v>
      </c>
      <c r="J304">
        <v>1</v>
      </c>
      <c r="L304" t="s">
        <v>1817</v>
      </c>
      <c r="M304" t="s">
        <v>45</v>
      </c>
      <c r="O304">
        <v>491.46319999999997</v>
      </c>
      <c r="Q304" t="s">
        <v>48</v>
      </c>
      <c r="R304" t="s">
        <v>50</v>
      </c>
      <c r="S304" t="s">
        <v>50</v>
      </c>
      <c r="T304" t="s">
        <v>50</v>
      </c>
      <c r="U304" t="s">
        <v>49</v>
      </c>
      <c r="V304" t="s">
        <v>49</v>
      </c>
      <c r="W304" t="s">
        <v>50</v>
      </c>
      <c r="X304" t="s">
        <v>49</v>
      </c>
      <c r="Y304" t="s">
        <v>50</v>
      </c>
      <c r="Z304">
        <v>0</v>
      </c>
      <c r="AA304">
        <v>0</v>
      </c>
      <c r="AB304">
        <v>0</v>
      </c>
      <c r="AC304">
        <v>0</v>
      </c>
      <c r="AD304" t="s">
        <v>50</v>
      </c>
      <c r="AF304">
        <v>145905</v>
      </c>
      <c r="AH304" t="s">
        <v>50</v>
      </c>
      <c r="AI304" t="s">
        <v>50</v>
      </c>
      <c r="AJ304" t="s">
        <v>51</v>
      </c>
      <c r="AK304" t="s">
        <v>50</v>
      </c>
      <c r="AM304" t="s">
        <v>49</v>
      </c>
      <c r="AN304" t="s">
        <v>1818</v>
      </c>
    </row>
    <row r="305" spans="1:40" x14ac:dyDescent="0.2">
      <c r="A305">
        <v>4954031</v>
      </c>
      <c r="B305" t="s">
        <v>1819</v>
      </c>
      <c r="C305" t="str">
        <f>"9780497906801"</f>
        <v>9780497906801</v>
      </c>
      <c r="D305" t="str">
        <f>"9781281459169"</f>
        <v>9781281459169</v>
      </c>
      <c r="E305" t="s">
        <v>1816</v>
      </c>
      <c r="F305" t="s">
        <v>1816</v>
      </c>
      <c r="G305" s="1">
        <v>39000</v>
      </c>
      <c r="H305" s="1">
        <v>44699</v>
      </c>
      <c r="I305" t="s">
        <v>43</v>
      </c>
      <c r="J305">
        <v>1</v>
      </c>
      <c r="L305" t="s">
        <v>1817</v>
      </c>
      <c r="M305" t="s">
        <v>58</v>
      </c>
      <c r="O305">
        <v>658</v>
      </c>
      <c r="Q305" t="s">
        <v>48</v>
      </c>
      <c r="R305" t="s">
        <v>50</v>
      </c>
      <c r="S305" t="s">
        <v>50</v>
      </c>
      <c r="T305" t="s">
        <v>50</v>
      </c>
      <c r="U305" t="s">
        <v>49</v>
      </c>
      <c r="V305" t="s">
        <v>49</v>
      </c>
      <c r="W305" t="s">
        <v>50</v>
      </c>
      <c r="X305" t="s">
        <v>49</v>
      </c>
      <c r="Y305" t="s">
        <v>50</v>
      </c>
      <c r="Z305">
        <v>0</v>
      </c>
      <c r="AA305">
        <v>0</v>
      </c>
      <c r="AB305">
        <v>0</v>
      </c>
      <c r="AC305">
        <v>0</v>
      </c>
      <c r="AD305" t="s">
        <v>50</v>
      </c>
      <c r="AF305">
        <v>145916</v>
      </c>
      <c r="AH305" t="s">
        <v>50</v>
      </c>
      <c r="AI305" t="s">
        <v>50</v>
      </c>
      <c r="AJ305" t="s">
        <v>51</v>
      </c>
      <c r="AK305" t="s">
        <v>50</v>
      </c>
      <c r="AM305" t="s">
        <v>49</v>
      </c>
      <c r="AN305" t="s">
        <v>1820</v>
      </c>
    </row>
    <row r="306" spans="1:40" x14ac:dyDescent="0.2">
      <c r="A306">
        <v>4954036</v>
      </c>
      <c r="B306" t="s">
        <v>1821</v>
      </c>
      <c r="C306" t="str">
        <f>"9780497907327"</f>
        <v>9780497907327</v>
      </c>
      <c r="D306" t="str">
        <f>"9781281459527"</f>
        <v>9781281459527</v>
      </c>
      <c r="E306" t="s">
        <v>1816</v>
      </c>
      <c r="F306" t="s">
        <v>1816</v>
      </c>
      <c r="G306" s="1">
        <v>39000</v>
      </c>
      <c r="H306" s="1">
        <v>44699</v>
      </c>
      <c r="I306" t="s">
        <v>43</v>
      </c>
      <c r="J306">
        <v>1</v>
      </c>
      <c r="L306" t="s">
        <v>1817</v>
      </c>
      <c r="M306" t="s">
        <v>45</v>
      </c>
      <c r="O306">
        <v>491.43932100000001</v>
      </c>
      <c r="Q306" t="s">
        <v>48</v>
      </c>
      <c r="R306" t="s">
        <v>50</v>
      </c>
      <c r="S306" t="s">
        <v>50</v>
      </c>
      <c r="T306" t="s">
        <v>50</v>
      </c>
      <c r="U306" t="s">
        <v>49</v>
      </c>
      <c r="V306" t="s">
        <v>49</v>
      </c>
      <c r="W306" t="s">
        <v>50</v>
      </c>
      <c r="X306" t="s">
        <v>49</v>
      </c>
      <c r="Y306" t="s">
        <v>50</v>
      </c>
      <c r="Z306">
        <v>0</v>
      </c>
      <c r="AA306">
        <v>0</v>
      </c>
      <c r="AB306">
        <v>0</v>
      </c>
      <c r="AC306">
        <v>0</v>
      </c>
      <c r="AD306" t="s">
        <v>50</v>
      </c>
      <c r="AF306">
        <v>145952</v>
      </c>
      <c r="AH306" t="s">
        <v>50</v>
      </c>
      <c r="AI306" t="s">
        <v>50</v>
      </c>
      <c r="AJ306" t="s">
        <v>51</v>
      </c>
      <c r="AK306" t="s">
        <v>50</v>
      </c>
      <c r="AM306" t="s">
        <v>49</v>
      </c>
      <c r="AN306" t="s">
        <v>1822</v>
      </c>
    </row>
    <row r="307" spans="1:40" x14ac:dyDescent="0.2">
      <c r="A307">
        <v>4954048</v>
      </c>
      <c r="B307" t="s">
        <v>1823</v>
      </c>
      <c r="C307" t="str">
        <f>"9780497835316"</f>
        <v>9780497835316</v>
      </c>
      <c r="D307" t="str">
        <f>"9781281492821"</f>
        <v>9781281492821</v>
      </c>
      <c r="E307" t="s">
        <v>1816</v>
      </c>
      <c r="F307" t="s">
        <v>1816</v>
      </c>
      <c r="G307" s="1">
        <v>39450</v>
      </c>
      <c r="H307" s="1">
        <v>44699</v>
      </c>
      <c r="I307" t="s">
        <v>43</v>
      </c>
      <c r="J307">
        <v>1</v>
      </c>
      <c r="L307" t="s">
        <v>1817</v>
      </c>
      <c r="M307" t="s">
        <v>45</v>
      </c>
      <c r="O307">
        <v>499.22199999999998</v>
      </c>
      <c r="Q307" t="s">
        <v>48</v>
      </c>
      <c r="R307" t="s">
        <v>50</v>
      </c>
      <c r="S307" t="s">
        <v>50</v>
      </c>
      <c r="T307" t="s">
        <v>50</v>
      </c>
      <c r="U307" t="s">
        <v>49</v>
      </c>
      <c r="V307" t="s">
        <v>49</v>
      </c>
      <c r="W307" t="s">
        <v>50</v>
      </c>
      <c r="X307" t="s">
        <v>49</v>
      </c>
      <c r="Y307" t="s">
        <v>50</v>
      </c>
      <c r="Z307">
        <v>0</v>
      </c>
      <c r="AA307">
        <v>0</v>
      </c>
      <c r="AB307">
        <v>0</v>
      </c>
      <c r="AC307">
        <v>0</v>
      </c>
      <c r="AD307" t="s">
        <v>50</v>
      </c>
      <c r="AF307">
        <v>149282</v>
      </c>
      <c r="AH307" t="s">
        <v>50</v>
      </c>
      <c r="AI307" t="s">
        <v>50</v>
      </c>
      <c r="AJ307" t="s">
        <v>51</v>
      </c>
      <c r="AK307" t="s">
        <v>50</v>
      </c>
      <c r="AM307" t="s">
        <v>49</v>
      </c>
      <c r="AN307" t="s">
        <v>1824</v>
      </c>
    </row>
    <row r="308" spans="1:40" x14ac:dyDescent="0.2">
      <c r="A308">
        <v>4954057</v>
      </c>
      <c r="B308" t="s">
        <v>1825</v>
      </c>
      <c r="C308" t="str">
        <f>"9780497834401"</f>
        <v>9780497834401</v>
      </c>
      <c r="D308" t="str">
        <f>"9781281495099"</f>
        <v>9781281495099</v>
      </c>
      <c r="E308" t="s">
        <v>1816</v>
      </c>
      <c r="F308" t="s">
        <v>1816</v>
      </c>
      <c r="G308" s="1">
        <v>39450</v>
      </c>
      <c r="H308" s="1">
        <v>44699</v>
      </c>
      <c r="I308" t="s">
        <v>43</v>
      </c>
      <c r="J308">
        <v>1</v>
      </c>
      <c r="L308" t="s">
        <v>1817</v>
      </c>
      <c r="M308" t="s">
        <v>45</v>
      </c>
      <c r="O308">
        <v>423</v>
      </c>
      <c r="Q308" t="s">
        <v>48</v>
      </c>
      <c r="R308" t="s">
        <v>50</v>
      </c>
      <c r="S308" t="s">
        <v>50</v>
      </c>
      <c r="T308" t="s">
        <v>50</v>
      </c>
      <c r="U308" t="s">
        <v>49</v>
      </c>
      <c r="V308" t="s">
        <v>49</v>
      </c>
      <c r="W308" t="s">
        <v>50</v>
      </c>
      <c r="X308" t="s">
        <v>49</v>
      </c>
      <c r="Y308" t="s">
        <v>50</v>
      </c>
      <c r="Z308">
        <v>0</v>
      </c>
      <c r="AA308">
        <v>0</v>
      </c>
      <c r="AB308">
        <v>0</v>
      </c>
      <c r="AC308">
        <v>0</v>
      </c>
      <c r="AD308" t="s">
        <v>50</v>
      </c>
      <c r="AF308">
        <v>149509</v>
      </c>
      <c r="AH308" t="s">
        <v>50</v>
      </c>
      <c r="AI308" t="s">
        <v>50</v>
      </c>
      <c r="AJ308" t="s">
        <v>51</v>
      </c>
      <c r="AK308" t="s">
        <v>50</v>
      </c>
      <c r="AM308" t="s">
        <v>49</v>
      </c>
      <c r="AN308" t="s">
        <v>1826</v>
      </c>
    </row>
    <row r="309" spans="1:40" x14ac:dyDescent="0.2">
      <c r="A309">
        <v>4954066</v>
      </c>
      <c r="B309" t="s">
        <v>1827</v>
      </c>
      <c r="C309" t="str">
        <f>"9780497837365"</f>
        <v>9780497837365</v>
      </c>
      <c r="D309" t="str">
        <f>"9781281496096"</f>
        <v>9781281496096</v>
      </c>
      <c r="E309" t="s">
        <v>1816</v>
      </c>
      <c r="F309" t="s">
        <v>1816</v>
      </c>
      <c r="G309" s="1">
        <v>39450</v>
      </c>
      <c r="H309" s="1">
        <v>44699</v>
      </c>
      <c r="I309" t="s">
        <v>43</v>
      </c>
      <c r="J309">
        <v>1</v>
      </c>
      <c r="L309" t="s">
        <v>1817</v>
      </c>
      <c r="M309" t="s">
        <v>45</v>
      </c>
      <c r="O309">
        <v>494.827</v>
      </c>
      <c r="Q309" t="s">
        <v>48</v>
      </c>
      <c r="R309" t="s">
        <v>50</v>
      </c>
      <c r="S309" t="s">
        <v>50</v>
      </c>
      <c r="T309" t="s">
        <v>50</v>
      </c>
      <c r="U309" t="s">
        <v>49</v>
      </c>
      <c r="V309" t="s">
        <v>49</v>
      </c>
      <c r="W309" t="s">
        <v>50</v>
      </c>
      <c r="X309" t="s">
        <v>49</v>
      </c>
      <c r="Y309" t="s">
        <v>50</v>
      </c>
      <c r="Z309">
        <v>0</v>
      </c>
      <c r="AA309">
        <v>0</v>
      </c>
      <c r="AB309">
        <v>0</v>
      </c>
      <c r="AC309">
        <v>0</v>
      </c>
      <c r="AD309" t="s">
        <v>50</v>
      </c>
      <c r="AF309">
        <v>149609</v>
      </c>
      <c r="AH309" t="s">
        <v>50</v>
      </c>
      <c r="AI309" t="s">
        <v>50</v>
      </c>
      <c r="AJ309" t="s">
        <v>51</v>
      </c>
      <c r="AK309" t="s">
        <v>50</v>
      </c>
      <c r="AM309" t="s">
        <v>49</v>
      </c>
      <c r="AN309" t="s">
        <v>1828</v>
      </c>
    </row>
    <row r="310" spans="1:40" x14ac:dyDescent="0.2">
      <c r="A310">
        <v>4954069</v>
      </c>
      <c r="B310" t="s">
        <v>1829</v>
      </c>
      <c r="C310" t="str">
        <f>"9780497837778"</f>
        <v>9780497837778</v>
      </c>
      <c r="D310" t="str">
        <f>"9781281496478"</f>
        <v>9781281496478</v>
      </c>
      <c r="E310" t="s">
        <v>1816</v>
      </c>
      <c r="F310" t="s">
        <v>1816</v>
      </c>
      <c r="G310" s="1">
        <v>39450</v>
      </c>
      <c r="H310" s="1">
        <v>44699</v>
      </c>
      <c r="I310" t="s">
        <v>43</v>
      </c>
      <c r="J310">
        <v>1</v>
      </c>
      <c r="L310" t="s">
        <v>1817</v>
      </c>
      <c r="M310" t="s">
        <v>45</v>
      </c>
      <c r="O310">
        <v>423</v>
      </c>
      <c r="Q310" t="s">
        <v>48</v>
      </c>
      <c r="R310" t="s">
        <v>50</v>
      </c>
      <c r="S310" t="s">
        <v>50</v>
      </c>
      <c r="T310" t="s">
        <v>50</v>
      </c>
      <c r="U310" t="s">
        <v>49</v>
      </c>
      <c r="V310" t="s">
        <v>49</v>
      </c>
      <c r="W310" t="s">
        <v>50</v>
      </c>
      <c r="X310" t="s">
        <v>49</v>
      </c>
      <c r="Y310" t="s">
        <v>50</v>
      </c>
      <c r="Z310">
        <v>0</v>
      </c>
      <c r="AA310">
        <v>0</v>
      </c>
      <c r="AB310">
        <v>0</v>
      </c>
      <c r="AC310">
        <v>0</v>
      </c>
      <c r="AD310" t="s">
        <v>50</v>
      </c>
      <c r="AF310">
        <v>149647</v>
      </c>
      <c r="AH310" t="s">
        <v>50</v>
      </c>
      <c r="AI310" t="s">
        <v>50</v>
      </c>
      <c r="AJ310" t="s">
        <v>51</v>
      </c>
      <c r="AK310" t="s">
        <v>50</v>
      </c>
      <c r="AM310" t="s">
        <v>49</v>
      </c>
      <c r="AN310" t="s">
        <v>1830</v>
      </c>
    </row>
    <row r="311" spans="1:40" x14ac:dyDescent="0.2">
      <c r="A311">
        <v>4955968</v>
      </c>
      <c r="B311" t="s">
        <v>1831</v>
      </c>
      <c r="C311" t="str">
        <f>"9781607521587"</f>
        <v>9781607521587</v>
      </c>
      <c r="D311" t="str">
        <f>"9781282186446"</f>
        <v>9781282186446</v>
      </c>
      <c r="E311" t="s">
        <v>1832</v>
      </c>
      <c r="F311" t="s">
        <v>1833</v>
      </c>
      <c r="G311" s="1">
        <v>39832</v>
      </c>
      <c r="H311" s="1">
        <v>1</v>
      </c>
      <c r="I311" t="s">
        <v>43</v>
      </c>
      <c r="L311" t="s">
        <v>1834</v>
      </c>
      <c r="M311" t="s">
        <v>872</v>
      </c>
      <c r="O311">
        <v>371.4</v>
      </c>
      <c r="Q311" t="s">
        <v>48</v>
      </c>
      <c r="R311" t="s">
        <v>50</v>
      </c>
      <c r="S311" t="s">
        <v>50</v>
      </c>
      <c r="T311" t="s">
        <v>50</v>
      </c>
      <c r="U311" t="s">
        <v>50</v>
      </c>
      <c r="V311" t="s">
        <v>49</v>
      </c>
      <c r="W311" t="s">
        <v>50</v>
      </c>
      <c r="X311" t="s">
        <v>50</v>
      </c>
      <c r="Y311" t="s">
        <v>50</v>
      </c>
      <c r="Z311">
        <v>0</v>
      </c>
      <c r="AA311">
        <v>0</v>
      </c>
      <c r="AB311">
        <v>0</v>
      </c>
      <c r="AC311">
        <v>0</v>
      </c>
      <c r="AD311" t="s">
        <v>50</v>
      </c>
      <c r="AF311">
        <v>218644</v>
      </c>
      <c r="AH311" t="s">
        <v>50</v>
      </c>
      <c r="AI311" t="s">
        <v>50</v>
      </c>
      <c r="AJ311" t="s">
        <v>51</v>
      </c>
      <c r="AK311" t="s">
        <v>50</v>
      </c>
      <c r="AM311" t="s">
        <v>49</v>
      </c>
      <c r="AN311" t="s">
        <v>1835</v>
      </c>
    </row>
    <row r="312" spans="1:40" x14ac:dyDescent="0.2">
      <c r="A312">
        <v>4956326</v>
      </c>
      <c r="B312" t="s">
        <v>1836</v>
      </c>
      <c r="C312" t="str">
        <f>"9780631235668"</f>
        <v>9780631235668</v>
      </c>
      <c r="D312" t="str">
        <f>"9780470691090"</f>
        <v>9780470691090</v>
      </c>
      <c r="E312" t="s">
        <v>421</v>
      </c>
      <c r="F312" t="s">
        <v>192</v>
      </c>
      <c r="G312" s="1">
        <v>39553</v>
      </c>
      <c r="H312" s="1">
        <v>1</v>
      </c>
      <c r="I312" t="s">
        <v>43</v>
      </c>
      <c r="J312">
        <v>1</v>
      </c>
      <c r="K312" t="s">
        <v>1837</v>
      </c>
      <c r="L312" t="s">
        <v>1838</v>
      </c>
      <c r="M312" t="s">
        <v>91</v>
      </c>
      <c r="N312" t="s">
        <v>1839</v>
      </c>
      <c r="O312">
        <v>973</v>
      </c>
      <c r="Q312" t="s">
        <v>48</v>
      </c>
      <c r="R312" t="s">
        <v>50</v>
      </c>
      <c r="S312" t="s">
        <v>50</v>
      </c>
      <c r="T312" t="s">
        <v>50</v>
      </c>
      <c r="U312" t="s">
        <v>49</v>
      </c>
      <c r="V312" t="s">
        <v>49</v>
      </c>
      <c r="W312" t="s">
        <v>50</v>
      </c>
      <c r="X312" t="s">
        <v>49</v>
      </c>
      <c r="Y312" t="s">
        <v>50</v>
      </c>
      <c r="Z312">
        <v>0</v>
      </c>
      <c r="AA312">
        <v>0</v>
      </c>
      <c r="AB312">
        <v>0</v>
      </c>
      <c r="AD312" t="s">
        <v>50</v>
      </c>
      <c r="AF312">
        <v>131882</v>
      </c>
      <c r="AH312" t="s">
        <v>50</v>
      </c>
      <c r="AI312" t="s">
        <v>50</v>
      </c>
      <c r="AJ312" t="s">
        <v>51</v>
      </c>
      <c r="AK312" t="s">
        <v>50</v>
      </c>
      <c r="AM312" t="s">
        <v>49</v>
      </c>
      <c r="AN312" t="s">
        <v>1840</v>
      </c>
    </row>
    <row r="313" spans="1:40" x14ac:dyDescent="0.2">
      <c r="A313">
        <v>4956342</v>
      </c>
      <c r="B313" t="s">
        <v>1841</v>
      </c>
      <c r="C313" t="str">
        <f>"9780631209850"</f>
        <v>9780631209850</v>
      </c>
      <c r="D313" t="str">
        <f>"9780470998465"</f>
        <v>9780470998465</v>
      </c>
      <c r="E313" t="s">
        <v>421</v>
      </c>
      <c r="F313" t="s">
        <v>192</v>
      </c>
      <c r="G313" s="1">
        <v>39553</v>
      </c>
      <c r="H313" s="1">
        <v>1</v>
      </c>
      <c r="I313" t="s">
        <v>43</v>
      </c>
      <c r="J313">
        <v>1</v>
      </c>
      <c r="K313" t="s">
        <v>1837</v>
      </c>
      <c r="L313" t="s">
        <v>1842</v>
      </c>
      <c r="M313" t="s">
        <v>91</v>
      </c>
      <c r="N313" t="s">
        <v>1843</v>
      </c>
      <c r="O313">
        <v>973</v>
      </c>
      <c r="Q313" t="s">
        <v>48</v>
      </c>
      <c r="R313" t="s">
        <v>50</v>
      </c>
      <c r="S313" t="s">
        <v>50</v>
      </c>
      <c r="T313" t="s">
        <v>50</v>
      </c>
      <c r="U313" t="s">
        <v>49</v>
      </c>
      <c r="V313" t="s">
        <v>49</v>
      </c>
      <c r="W313" t="s">
        <v>50</v>
      </c>
      <c r="X313" t="s">
        <v>49</v>
      </c>
      <c r="Y313" t="s">
        <v>50</v>
      </c>
      <c r="Z313">
        <v>0</v>
      </c>
      <c r="AA313">
        <v>0</v>
      </c>
      <c r="AB313">
        <v>0</v>
      </c>
      <c r="AD313" t="s">
        <v>50</v>
      </c>
      <c r="AF313">
        <v>131246</v>
      </c>
      <c r="AH313" t="s">
        <v>50</v>
      </c>
      <c r="AI313" t="s">
        <v>50</v>
      </c>
      <c r="AJ313" t="s">
        <v>51</v>
      </c>
      <c r="AK313" t="s">
        <v>50</v>
      </c>
      <c r="AM313" t="s">
        <v>49</v>
      </c>
      <c r="AN313" t="s">
        <v>1844</v>
      </c>
    </row>
    <row r="314" spans="1:40" x14ac:dyDescent="0.2">
      <c r="A314">
        <v>4956357</v>
      </c>
      <c r="B314" t="s">
        <v>1845</v>
      </c>
      <c r="C314" t="str">
        <f>"9780631210580"</f>
        <v>9780631210580</v>
      </c>
      <c r="D314" t="str">
        <f>"9780470756447"</f>
        <v>9780470756447</v>
      </c>
      <c r="E314" t="s">
        <v>421</v>
      </c>
      <c r="F314" t="s">
        <v>192</v>
      </c>
      <c r="G314" s="1">
        <v>39553</v>
      </c>
      <c r="H314" s="1">
        <v>1</v>
      </c>
      <c r="I314" t="s">
        <v>43</v>
      </c>
      <c r="J314">
        <v>1</v>
      </c>
      <c r="K314" t="s">
        <v>1837</v>
      </c>
      <c r="L314" t="s">
        <v>1846</v>
      </c>
      <c r="M314" t="s">
        <v>91</v>
      </c>
      <c r="N314" t="s">
        <v>1847</v>
      </c>
      <c r="O314">
        <v>973.3</v>
      </c>
      <c r="Q314" t="s">
        <v>48</v>
      </c>
      <c r="R314" t="s">
        <v>50</v>
      </c>
      <c r="S314" t="s">
        <v>50</v>
      </c>
      <c r="T314" t="s">
        <v>50</v>
      </c>
      <c r="U314" t="s">
        <v>49</v>
      </c>
      <c r="V314" t="s">
        <v>49</v>
      </c>
      <c r="W314" t="s">
        <v>50</v>
      </c>
      <c r="X314" t="s">
        <v>49</v>
      </c>
      <c r="Y314" t="s">
        <v>50</v>
      </c>
      <c r="Z314">
        <v>0</v>
      </c>
      <c r="AA314">
        <v>0</v>
      </c>
      <c r="AB314">
        <v>0</v>
      </c>
      <c r="AD314" t="s">
        <v>50</v>
      </c>
      <c r="AF314">
        <v>132074</v>
      </c>
      <c r="AH314" t="s">
        <v>50</v>
      </c>
      <c r="AI314" t="s">
        <v>50</v>
      </c>
      <c r="AJ314" t="s">
        <v>51</v>
      </c>
      <c r="AK314" t="s">
        <v>50</v>
      </c>
      <c r="AM314" t="s">
        <v>49</v>
      </c>
      <c r="AN314" t="s">
        <v>1848</v>
      </c>
    </row>
    <row r="315" spans="1:40" x14ac:dyDescent="0.2">
      <c r="A315">
        <v>4956368</v>
      </c>
      <c r="B315" t="s">
        <v>1849</v>
      </c>
      <c r="C315" t="str">
        <f>""</f>
        <v/>
      </c>
      <c r="D315" t="str">
        <f>"9781281320087"</f>
        <v>9781281320087</v>
      </c>
      <c r="E315" t="s">
        <v>421</v>
      </c>
      <c r="F315" t="s">
        <v>421</v>
      </c>
      <c r="G315" s="1">
        <v>39553</v>
      </c>
      <c r="H315" s="1">
        <v>1</v>
      </c>
      <c r="I315" t="s">
        <v>43</v>
      </c>
      <c r="J315">
        <v>3</v>
      </c>
      <c r="L315" t="s">
        <v>1850</v>
      </c>
      <c r="M315" t="s">
        <v>379</v>
      </c>
      <c r="O315">
        <v>610.7346</v>
      </c>
      <c r="Q315" t="s">
        <v>48</v>
      </c>
      <c r="R315" t="s">
        <v>50</v>
      </c>
      <c r="S315" t="s">
        <v>50</v>
      </c>
      <c r="T315" t="s">
        <v>50</v>
      </c>
      <c r="U315" t="s">
        <v>49</v>
      </c>
      <c r="V315" t="s">
        <v>49</v>
      </c>
      <c r="W315" t="s">
        <v>50</v>
      </c>
      <c r="X315" t="s">
        <v>49</v>
      </c>
      <c r="Y315" t="s">
        <v>50</v>
      </c>
      <c r="Z315">
        <v>0</v>
      </c>
      <c r="AA315">
        <v>0</v>
      </c>
      <c r="AB315">
        <v>0</v>
      </c>
      <c r="AD315" t="s">
        <v>50</v>
      </c>
      <c r="AF315">
        <v>132008</v>
      </c>
      <c r="AH315" t="s">
        <v>50</v>
      </c>
      <c r="AI315" t="s">
        <v>50</v>
      </c>
      <c r="AJ315" t="s">
        <v>51</v>
      </c>
      <c r="AK315" t="s">
        <v>50</v>
      </c>
      <c r="AM315" t="s">
        <v>49</v>
      </c>
      <c r="AN315" t="s">
        <v>1851</v>
      </c>
    </row>
    <row r="316" spans="1:40" x14ac:dyDescent="0.2">
      <c r="A316">
        <v>4957136</v>
      </c>
      <c r="B316" t="s">
        <v>1852</v>
      </c>
      <c r="C316" t="str">
        <f>""</f>
        <v/>
      </c>
      <c r="D316" t="str">
        <f>"9781280411045"</f>
        <v>9781280411045</v>
      </c>
      <c r="E316" t="s">
        <v>421</v>
      </c>
      <c r="F316" t="s">
        <v>421</v>
      </c>
      <c r="G316" s="1">
        <v>38718</v>
      </c>
      <c r="H316" s="1">
        <v>1</v>
      </c>
      <c r="I316" t="s">
        <v>43</v>
      </c>
      <c r="L316" t="s">
        <v>1853</v>
      </c>
      <c r="M316" t="s">
        <v>58</v>
      </c>
      <c r="O316">
        <v>658.40920000000006</v>
      </c>
      <c r="Q316" t="s">
        <v>48</v>
      </c>
      <c r="R316" t="s">
        <v>50</v>
      </c>
      <c r="S316" t="s">
        <v>50</v>
      </c>
      <c r="T316" t="s">
        <v>50</v>
      </c>
      <c r="U316" t="s">
        <v>49</v>
      </c>
      <c r="V316" t="s">
        <v>49</v>
      </c>
      <c r="W316" t="s">
        <v>50</v>
      </c>
      <c r="X316" t="s">
        <v>49</v>
      </c>
      <c r="Y316" t="s">
        <v>50</v>
      </c>
      <c r="Z316">
        <v>0</v>
      </c>
      <c r="AA316">
        <v>0</v>
      </c>
      <c r="AB316">
        <v>0</v>
      </c>
      <c r="AD316" t="s">
        <v>50</v>
      </c>
      <c r="AF316">
        <v>41104</v>
      </c>
      <c r="AH316" t="s">
        <v>50</v>
      </c>
      <c r="AI316" t="s">
        <v>50</v>
      </c>
      <c r="AJ316" t="s">
        <v>51</v>
      </c>
      <c r="AK316" t="s">
        <v>50</v>
      </c>
      <c r="AM316" t="s">
        <v>49</v>
      </c>
      <c r="AN316" t="s">
        <v>1854</v>
      </c>
    </row>
    <row r="317" spans="1:40" x14ac:dyDescent="0.2">
      <c r="A317">
        <v>4957152</v>
      </c>
      <c r="B317" t="s">
        <v>1855</v>
      </c>
      <c r="C317" t="str">
        <f>""</f>
        <v/>
      </c>
      <c r="D317" t="str">
        <f>"9781280447815"</f>
        <v>9781280447815</v>
      </c>
      <c r="E317" t="s">
        <v>421</v>
      </c>
      <c r="F317" t="s">
        <v>149</v>
      </c>
      <c r="G317" s="1">
        <v>38936</v>
      </c>
      <c r="H317" s="1">
        <v>1</v>
      </c>
      <c r="I317" t="s">
        <v>43</v>
      </c>
      <c r="J317">
        <v>1</v>
      </c>
      <c r="L317" t="s">
        <v>357</v>
      </c>
      <c r="M317" t="s">
        <v>45</v>
      </c>
      <c r="O317">
        <v>469</v>
      </c>
      <c r="Q317" t="s">
        <v>48</v>
      </c>
      <c r="R317" t="s">
        <v>50</v>
      </c>
      <c r="S317" t="s">
        <v>50</v>
      </c>
      <c r="T317" t="s">
        <v>50</v>
      </c>
      <c r="U317" t="s">
        <v>49</v>
      </c>
      <c r="V317" t="s">
        <v>49</v>
      </c>
      <c r="W317" t="s">
        <v>50</v>
      </c>
      <c r="X317" t="s">
        <v>49</v>
      </c>
      <c r="Y317" t="s">
        <v>50</v>
      </c>
      <c r="Z317">
        <v>0</v>
      </c>
      <c r="AA317">
        <v>0</v>
      </c>
      <c r="AB317">
        <v>0</v>
      </c>
      <c r="AD317" t="s">
        <v>50</v>
      </c>
      <c r="AF317">
        <v>44781</v>
      </c>
      <c r="AH317" t="s">
        <v>50</v>
      </c>
      <c r="AI317" t="s">
        <v>50</v>
      </c>
      <c r="AJ317" t="s">
        <v>51</v>
      </c>
      <c r="AK317" t="s">
        <v>50</v>
      </c>
      <c r="AM317" t="s">
        <v>49</v>
      </c>
      <c r="AN317" t="s">
        <v>1856</v>
      </c>
    </row>
    <row r="318" spans="1:40" x14ac:dyDescent="0.2">
      <c r="A318">
        <v>4957168</v>
      </c>
      <c r="B318" t="s">
        <v>1857</v>
      </c>
      <c r="C318" t="str">
        <f>""</f>
        <v/>
      </c>
      <c r="D318" t="str">
        <f>"9781281939098"</f>
        <v>9781281939098</v>
      </c>
      <c r="E318" t="s">
        <v>421</v>
      </c>
      <c r="F318" t="s">
        <v>421</v>
      </c>
      <c r="G318" s="1">
        <v>39814</v>
      </c>
      <c r="H318" s="1">
        <v>1</v>
      </c>
      <c r="I318" t="s">
        <v>43</v>
      </c>
      <c r="J318">
        <v>6</v>
      </c>
      <c r="L318" t="s">
        <v>1858</v>
      </c>
      <c r="M318" t="s">
        <v>171</v>
      </c>
      <c r="O318">
        <v>775</v>
      </c>
      <c r="Q318" t="s">
        <v>48</v>
      </c>
      <c r="R318" t="s">
        <v>50</v>
      </c>
      <c r="S318" t="s">
        <v>50</v>
      </c>
      <c r="T318" t="s">
        <v>50</v>
      </c>
      <c r="U318" t="s">
        <v>49</v>
      </c>
      <c r="V318" t="s">
        <v>49</v>
      </c>
      <c r="W318" t="s">
        <v>50</v>
      </c>
      <c r="X318" t="s">
        <v>49</v>
      </c>
      <c r="Y318" t="s">
        <v>50</v>
      </c>
      <c r="Z318">
        <v>0</v>
      </c>
      <c r="AA318">
        <v>0</v>
      </c>
      <c r="AB318">
        <v>0</v>
      </c>
      <c r="AD318" t="s">
        <v>50</v>
      </c>
      <c r="AF318">
        <v>193909</v>
      </c>
      <c r="AH318" t="s">
        <v>50</v>
      </c>
      <c r="AI318" t="s">
        <v>50</v>
      </c>
      <c r="AJ318" t="s">
        <v>51</v>
      </c>
      <c r="AK318" t="s">
        <v>50</v>
      </c>
      <c r="AM318" t="s">
        <v>49</v>
      </c>
      <c r="AN318" t="s">
        <v>1859</v>
      </c>
    </row>
    <row r="319" spans="1:40" x14ac:dyDescent="0.2">
      <c r="A319">
        <v>4957280</v>
      </c>
      <c r="B319" t="s">
        <v>1860</v>
      </c>
      <c r="C319" t="str">
        <f>""</f>
        <v/>
      </c>
      <c r="D319" t="str">
        <f>"9781282186170"</f>
        <v>9781282186170</v>
      </c>
      <c r="E319" t="s">
        <v>421</v>
      </c>
      <c r="F319" t="s">
        <v>1861</v>
      </c>
      <c r="G319" s="1">
        <v>39993</v>
      </c>
      <c r="H319" s="1">
        <v>1</v>
      </c>
      <c r="I319" t="s">
        <v>43</v>
      </c>
      <c r="J319">
        <v>1</v>
      </c>
      <c r="L319" t="s">
        <v>1862</v>
      </c>
      <c r="M319" t="s">
        <v>1461</v>
      </c>
      <c r="O319">
        <v>820.9384</v>
      </c>
      <c r="Q319" t="s">
        <v>48</v>
      </c>
      <c r="R319" t="s">
        <v>50</v>
      </c>
      <c r="S319" t="s">
        <v>50</v>
      </c>
      <c r="T319" t="s">
        <v>50</v>
      </c>
      <c r="U319" t="s">
        <v>49</v>
      </c>
      <c r="V319" t="s">
        <v>49</v>
      </c>
      <c r="W319" t="s">
        <v>50</v>
      </c>
      <c r="X319" t="s">
        <v>49</v>
      </c>
      <c r="Y319" t="s">
        <v>50</v>
      </c>
      <c r="Z319">
        <v>0</v>
      </c>
      <c r="AA319">
        <v>0</v>
      </c>
      <c r="AB319">
        <v>0</v>
      </c>
      <c r="AD319" t="s">
        <v>50</v>
      </c>
      <c r="AF319">
        <v>218617</v>
      </c>
      <c r="AH319" t="s">
        <v>50</v>
      </c>
      <c r="AI319" t="s">
        <v>50</v>
      </c>
      <c r="AJ319" t="s">
        <v>51</v>
      </c>
      <c r="AK319" t="s">
        <v>50</v>
      </c>
      <c r="AM319" t="s">
        <v>49</v>
      </c>
      <c r="AN319" t="s">
        <v>1863</v>
      </c>
    </row>
    <row r="320" spans="1:40" x14ac:dyDescent="0.2">
      <c r="A320">
        <v>4957435</v>
      </c>
      <c r="B320" t="s">
        <v>1864</v>
      </c>
      <c r="C320" t="str">
        <f>""</f>
        <v/>
      </c>
      <c r="D320" t="str">
        <f>"9781282003699"</f>
        <v>9781282003699</v>
      </c>
      <c r="E320" t="s">
        <v>421</v>
      </c>
      <c r="F320" t="s">
        <v>149</v>
      </c>
      <c r="G320" s="1">
        <v>39842</v>
      </c>
      <c r="H320" s="1">
        <v>1</v>
      </c>
      <c r="I320" t="s">
        <v>43</v>
      </c>
      <c r="J320">
        <v>2</v>
      </c>
      <c r="L320" t="s">
        <v>1865</v>
      </c>
      <c r="M320" t="s">
        <v>171</v>
      </c>
      <c r="O320">
        <v>775</v>
      </c>
      <c r="Q320" t="s">
        <v>48</v>
      </c>
      <c r="R320" t="s">
        <v>50</v>
      </c>
      <c r="S320" t="s">
        <v>50</v>
      </c>
      <c r="T320" t="s">
        <v>50</v>
      </c>
      <c r="U320" t="s">
        <v>49</v>
      </c>
      <c r="V320" t="s">
        <v>49</v>
      </c>
      <c r="W320" t="s">
        <v>50</v>
      </c>
      <c r="X320" t="s">
        <v>49</v>
      </c>
      <c r="Y320" t="s">
        <v>50</v>
      </c>
      <c r="Z320">
        <v>0</v>
      </c>
      <c r="AA320">
        <v>0</v>
      </c>
      <c r="AB320">
        <v>0</v>
      </c>
      <c r="AD320" t="s">
        <v>50</v>
      </c>
      <c r="AF320">
        <v>200369</v>
      </c>
      <c r="AH320" t="s">
        <v>50</v>
      </c>
      <c r="AI320" t="s">
        <v>50</v>
      </c>
      <c r="AJ320" t="s">
        <v>51</v>
      </c>
      <c r="AK320" t="s">
        <v>50</v>
      </c>
      <c r="AM320" t="s">
        <v>49</v>
      </c>
      <c r="AN320" t="s">
        <v>1866</v>
      </c>
    </row>
    <row r="321" spans="1:40" x14ac:dyDescent="0.2">
      <c r="A321">
        <v>4957745</v>
      </c>
      <c r="B321" t="s">
        <v>1867</v>
      </c>
      <c r="C321" t="str">
        <f>""</f>
        <v/>
      </c>
      <c r="D321" t="str">
        <f>"9781280353338"</f>
        <v>9781280353338</v>
      </c>
      <c r="E321" t="s">
        <v>421</v>
      </c>
      <c r="F321" t="s">
        <v>1861</v>
      </c>
      <c r="G321" s="1">
        <v>38190</v>
      </c>
      <c r="H321" s="1">
        <v>1</v>
      </c>
      <c r="I321" t="s">
        <v>43</v>
      </c>
      <c r="J321">
        <v>1</v>
      </c>
      <c r="L321" t="s">
        <v>1868</v>
      </c>
      <c r="M321" t="s">
        <v>1869</v>
      </c>
      <c r="O321">
        <v>880.9</v>
      </c>
      <c r="Q321" t="s">
        <v>48</v>
      </c>
      <c r="R321" t="s">
        <v>50</v>
      </c>
      <c r="S321" t="s">
        <v>50</v>
      </c>
      <c r="T321" t="s">
        <v>50</v>
      </c>
      <c r="U321" t="s">
        <v>49</v>
      </c>
      <c r="V321" t="s">
        <v>49</v>
      </c>
      <c r="W321" t="s">
        <v>50</v>
      </c>
      <c r="X321" t="s">
        <v>49</v>
      </c>
      <c r="Y321" t="s">
        <v>50</v>
      </c>
      <c r="Z321">
        <v>0</v>
      </c>
      <c r="AA321">
        <v>0</v>
      </c>
      <c r="AB321">
        <v>0</v>
      </c>
      <c r="AD321" t="s">
        <v>50</v>
      </c>
      <c r="AF321">
        <v>35333</v>
      </c>
      <c r="AH321" t="s">
        <v>50</v>
      </c>
      <c r="AI321" t="s">
        <v>50</v>
      </c>
      <c r="AJ321" t="s">
        <v>51</v>
      </c>
      <c r="AK321" t="s">
        <v>50</v>
      </c>
      <c r="AM321" t="s">
        <v>49</v>
      </c>
      <c r="AN321" t="s">
        <v>1870</v>
      </c>
    </row>
    <row r="322" spans="1:40" x14ac:dyDescent="0.2">
      <c r="A322">
        <v>4957773</v>
      </c>
      <c r="B322" t="s">
        <v>1871</v>
      </c>
      <c r="C322" t="str">
        <f>""</f>
        <v/>
      </c>
      <c r="D322" t="str">
        <f>"9781281134844"</f>
        <v>9781281134844</v>
      </c>
      <c r="E322" t="s">
        <v>421</v>
      </c>
      <c r="F322" t="s">
        <v>421</v>
      </c>
      <c r="G322" s="1">
        <v>39426</v>
      </c>
      <c r="H322" s="1">
        <v>1</v>
      </c>
      <c r="I322" t="s">
        <v>43</v>
      </c>
      <c r="J322">
        <v>1</v>
      </c>
      <c r="L322" t="s">
        <v>1872</v>
      </c>
      <c r="M322" t="s">
        <v>45</v>
      </c>
      <c r="O322">
        <v>468.34210000000002</v>
      </c>
      <c r="Q322" t="s">
        <v>48</v>
      </c>
      <c r="R322" t="s">
        <v>50</v>
      </c>
      <c r="S322" t="s">
        <v>50</v>
      </c>
      <c r="T322" t="s">
        <v>50</v>
      </c>
      <c r="U322" t="s">
        <v>49</v>
      </c>
      <c r="V322" t="s">
        <v>49</v>
      </c>
      <c r="W322" t="s">
        <v>50</v>
      </c>
      <c r="X322" t="s">
        <v>49</v>
      </c>
      <c r="Y322" t="s">
        <v>50</v>
      </c>
      <c r="Z322">
        <v>0</v>
      </c>
      <c r="AA322">
        <v>0</v>
      </c>
      <c r="AB322">
        <v>0</v>
      </c>
      <c r="AD322" t="s">
        <v>50</v>
      </c>
      <c r="AF322">
        <v>113484</v>
      </c>
      <c r="AH322" t="s">
        <v>50</v>
      </c>
      <c r="AI322" t="s">
        <v>50</v>
      </c>
      <c r="AJ322" t="s">
        <v>51</v>
      </c>
      <c r="AK322" t="s">
        <v>50</v>
      </c>
      <c r="AM322" t="s">
        <v>49</v>
      </c>
      <c r="AN322" t="s">
        <v>1873</v>
      </c>
    </row>
    <row r="323" spans="1:40" x14ac:dyDescent="0.2">
      <c r="A323">
        <v>4957796</v>
      </c>
      <c r="B323" t="s">
        <v>1874</v>
      </c>
      <c r="C323" t="str">
        <f>""</f>
        <v/>
      </c>
      <c r="D323" t="str">
        <f>"9781280468322"</f>
        <v>9781280468322</v>
      </c>
      <c r="E323" t="s">
        <v>421</v>
      </c>
      <c r="F323" t="s">
        <v>149</v>
      </c>
      <c r="G323" s="1">
        <v>38985</v>
      </c>
      <c r="H323" s="1">
        <v>1</v>
      </c>
      <c r="I323" t="s">
        <v>43</v>
      </c>
      <c r="J323">
        <v>2</v>
      </c>
      <c r="L323" t="s">
        <v>1875</v>
      </c>
      <c r="M323" t="s">
        <v>416</v>
      </c>
      <c r="O323">
        <v>903</v>
      </c>
      <c r="Q323" t="s">
        <v>48</v>
      </c>
      <c r="R323" t="s">
        <v>50</v>
      </c>
      <c r="S323" t="s">
        <v>50</v>
      </c>
      <c r="T323" t="s">
        <v>50</v>
      </c>
      <c r="U323" t="s">
        <v>49</v>
      </c>
      <c r="V323" t="s">
        <v>49</v>
      </c>
      <c r="W323" t="s">
        <v>50</v>
      </c>
      <c r="X323" t="s">
        <v>49</v>
      </c>
      <c r="Y323" t="s">
        <v>50</v>
      </c>
      <c r="Z323">
        <v>0</v>
      </c>
      <c r="AA323">
        <v>0</v>
      </c>
      <c r="AB323">
        <v>0</v>
      </c>
      <c r="AD323" t="s">
        <v>50</v>
      </c>
      <c r="AF323">
        <v>46832</v>
      </c>
      <c r="AH323" t="s">
        <v>50</v>
      </c>
      <c r="AI323" t="s">
        <v>50</v>
      </c>
      <c r="AJ323" t="s">
        <v>51</v>
      </c>
      <c r="AK323" t="s">
        <v>50</v>
      </c>
      <c r="AM323" t="s">
        <v>49</v>
      </c>
      <c r="AN323" t="s">
        <v>1876</v>
      </c>
    </row>
    <row r="324" spans="1:40" x14ac:dyDescent="0.2">
      <c r="A324">
        <v>4957908</v>
      </c>
      <c r="B324" t="s">
        <v>1877</v>
      </c>
      <c r="C324" t="str">
        <f>""</f>
        <v/>
      </c>
      <c r="D324" t="str">
        <f>"9781280277962"</f>
        <v>9781280277962</v>
      </c>
      <c r="E324" t="s">
        <v>421</v>
      </c>
      <c r="F324" t="s">
        <v>421</v>
      </c>
      <c r="G324" s="1">
        <v>38558</v>
      </c>
      <c r="H324" s="1">
        <v>1</v>
      </c>
      <c r="I324" t="s">
        <v>43</v>
      </c>
      <c r="L324" t="s">
        <v>1878</v>
      </c>
      <c r="M324" t="s">
        <v>45</v>
      </c>
      <c r="O324">
        <v>495.18242099999998</v>
      </c>
      <c r="Q324" t="s">
        <v>48</v>
      </c>
      <c r="R324" t="s">
        <v>50</v>
      </c>
      <c r="S324" t="s">
        <v>50</v>
      </c>
      <c r="T324" t="s">
        <v>50</v>
      </c>
      <c r="U324" t="s">
        <v>49</v>
      </c>
      <c r="V324" t="s">
        <v>49</v>
      </c>
      <c r="W324" t="s">
        <v>50</v>
      </c>
      <c r="X324" t="s">
        <v>49</v>
      </c>
      <c r="Y324" t="s">
        <v>50</v>
      </c>
      <c r="Z324">
        <v>0</v>
      </c>
      <c r="AA324">
        <v>0</v>
      </c>
      <c r="AB324">
        <v>0</v>
      </c>
      <c r="AD324" t="s">
        <v>50</v>
      </c>
      <c r="AF324">
        <v>27796</v>
      </c>
      <c r="AH324" t="s">
        <v>50</v>
      </c>
      <c r="AI324" t="s">
        <v>50</v>
      </c>
      <c r="AJ324" t="s">
        <v>51</v>
      </c>
      <c r="AK324" t="s">
        <v>50</v>
      </c>
      <c r="AM324" t="s">
        <v>49</v>
      </c>
      <c r="AN324" t="s">
        <v>1879</v>
      </c>
    </row>
    <row r="325" spans="1:40" x14ac:dyDescent="0.2">
      <c r="A325">
        <v>4961480</v>
      </c>
      <c r="B325" t="s">
        <v>1880</v>
      </c>
      <c r="C325" t="str">
        <f>"9781905832415"</f>
        <v>9781905832415</v>
      </c>
      <c r="D325" t="str">
        <f>"9781905832453"</f>
        <v>9781905832453</v>
      </c>
      <c r="E325" t="s">
        <v>1881</v>
      </c>
      <c r="F325" t="s">
        <v>1882</v>
      </c>
      <c r="G325" s="1">
        <v>39600</v>
      </c>
      <c r="H325" s="1">
        <v>1</v>
      </c>
      <c r="I325" t="s">
        <v>43</v>
      </c>
      <c r="J325">
        <v>5</v>
      </c>
      <c r="L325" t="s">
        <v>1883</v>
      </c>
      <c r="M325" t="s">
        <v>682</v>
      </c>
      <c r="O325">
        <v>616.99459999999999</v>
      </c>
      <c r="Q325" t="s">
        <v>48</v>
      </c>
      <c r="R325" t="s">
        <v>50</v>
      </c>
      <c r="S325" t="s">
        <v>50</v>
      </c>
      <c r="T325" t="s">
        <v>50</v>
      </c>
      <c r="U325" t="s">
        <v>50</v>
      </c>
      <c r="V325" t="s">
        <v>49</v>
      </c>
      <c r="W325" t="s">
        <v>50</v>
      </c>
      <c r="X325" t="s">
        <v>50</v>
      </c>
      <c r="Y325" t="s">
        <v>50</v>
      </c>
      <c r="AB325">
        <v>0</v>
      </c>
      <c r="AD325" t="s">
        <v>50</v>
      </c>
      <c r="AF325">
        <v>160797</v>
      </c>
      <c r="AH325" t="s">
        <v>50</v>
      </c>
      <c r="AI325" t="s">
        <v>50</v>
      </c>
      <c r="AJ325" t="s">
        <v>51</v>
      </c>
      <c r="AK325" t="s">
        <v>50</v>
      </c>
      <c r="AM325" t="s">
        <v>49</v>
      </c>
      <c r="AN325" t="s">
        <v>1884</v>
      </c>
    </row>
    <row r="326" spans="1:40" x14ac:dyDescent="0.2">
      <c r="A326">
        <v>4961489</v>
      </c>
      <c r="B326" t="s">
        <v>1885</v>
      </c>
      <c r="C326" t="str">
        <f>"9781905832019"</f>
        <v>9781905832019</v>
      </c>
      <c r="D326" t="str">
        <f>"9781905832378"</f>
        <v>9781905832378</v>
      </c>
      <c r="E326" t="s">
        <v>1881</v>
      </c>
      <c r="F326" t="s">
        <v>1882</v>
      </c>
      <c r="G326" s="1">
        <v>39448</v>
      </c>
      <c r="H326" s="1">
        <v>1</v>
      </c>
      <c r="I326" t="s">
        <v>43</v>
      </c>
      <c r="J326">
        <v>1</v>
      </c>
      <c r="L326" t="s">
        <v>1886</v>
      </c>
      <c r="M326" t="s">
        <v>682</v>
      </c>
      <c r="O326">
        <v>616.62</v>
      </c>
      <c r="Q326" t="s">
        <v>48</v>
      </c>
      <c r="R326" t="s">
        <v>50</v>
      </c>
      <c r="S326" t="s">
        <v>50</v>
      </c>
      <c r="T326" t="s">
        <v>50</v>
      </c>
      <c r="U326" t="s">
        <v>50</v>
      </c>
      <c r="V326" t="s">
        <v>49</v>
      </c>
      <c r="W326" t="s">
        <v>50</v>
      </c>
      <c r="X326" t="s">
        <v>50</v>
      </c>
      <c r="Y326" t="s">
        <v>50</v>
      </c>
      <c r="AB326">
        <v>0</v>
      </c>
      <c r="AD326" t="s">
        <v>50</v>
      </c>
      <c r="AF326">
        <v>114338</v>
      </c>
      <c r="AH326" t="s">
        <v>50</v>
      </c>
      <c r="AI326" t="s">
        <v>50</v>
      </c>
      <c r="AJ326" t="s">
        <v>51</v>
      </c>
      <c r="AK326" t="s">
        <v>50</v>
      </c>
      <c r="AM326" t="s">
        <v>49</v>
      </c>
      <c r="AN326" t="s">
        <v>1887</v>
      </c>
    </row>
    <row r="327" spans="1:40" x14ac:dyDescent="0.2">
      <c r="A327">
        <v>4961490</v>
      </c>
      <c r="B327" t="s">
        <v>1888</v>
      </c>
      <c r="C327" t="str">
        <f>"9781905832392"</f>
        <v>9781905832392</v>
      </c>
      <c r="D327" t="str">
        <f>"9781905832446"</f>
        <v>9781905832446</v>
      </c>
      <c r="E327" t="s">
        <v>1881</v>
      </c>
      <c r="F327" t="s">
        <v>1882</v>
      </c>
      <c r="G327" s="1">
        <v>39451</v>
      </c>
      <c r="H327" s="1">
        <v>1</v>
      </c>
      <c r="I327" t="s">
        <v>43</v>
      </c>
      <c r="J327">
        <v>4</v>
      </c>
      <c r="L327" t="s">
        <v>1889</v>
      </c>
      <c r="M327" t="s">
        <v>682</v>
      </c>
      <c r="O327">
        <v>616.39970000000005</v>
      </c>
      <c r="Q327" t="s">
        <v>48</v>
      </c>
      <c r="R327" t="s">
        <v>50</v>
      </c>
      <c r="S327" t="s">
        <v>50</v>
      </c>
      <c r="T327" t="s">
        <v>50</v>
      </c>
      <c r="U327" t="s">
        <v>50</v>
      </c>
      <c r="V327" t="s">
        <v>49</v>
      </c>
      <c r="W327" t="s">
        <v>50</v>
      </c>
      <c r="X327" t="s">
        <v>50</v>
      </c>
      <c r="Y327" t="s">
        <v>50</v>
      </c>
      <c r="AB327">
        <v>0</v>
      </c>
      <c r="AD327" t="s">
        <v>50</v>
      </c>
      <c r="AF327">
        <v>128418</v>
      </c>
      <c r="AH327" t="s">
        <v>50</v>
      </c>
      <c r="AI327" t="s">
        <v>50</v>
      </c>
      <c r="AJ327" t="s">
        <v>51</v>
      </c>
      <c r="AK327" t="s">
        <v>50</v>
      </c>
      <c r="AM327" t="s">
        <v>49</v>
      </c>
      <c r="AN327" t="s">
        <v>1890</v>
      </c>
    </row>
    <row r="328" spans="1:40" x14ac:dyDescent="0.2">
      <c r="A328">
        <v>4963215</v>
      </c>
      <c r="B328" t="s">
        <v>1891</v>
      </c>
      <c r="C328" t="str">
        <f>"9780199276332"</f>
        <v>9780199276332</v>
      </c>
      <c r="D328" t="str">
        <f>"9781280755316"</f>
        <v>9781280755316</v>
      </c>
      <c r="E328" t="s">
        <v>155</v>
      </c>
      <c r="F328" t="s">
        <v>155</v>
      </c>
      <c r="G328" s="1">
        <v>38504</v>
      </c>
      <c r="H328" s="1">
        <v>1</v>
      </c>
      <c r="I328" t="s">
        <v>43</v>
      </c>
      <c r="L328" t="s">
        <v>1892</v>
      </c>
      <c r="M328" t="s">
        <v>1893</v>
      </c>
      <c r="N328" t="s">
        <v>1894</v>
      </c>
      <c r="O328">
        <v>839.10900100000003</v>
      </c>
      <c r="P328" t="s">
        <v>1895</v>
      </c>
      <c r="Q328" t="s">
        <v>48</v>
      </c>
      <c r="R328" t="s">
        <v>50</v>
      </c>
      <c r="S328" t="s">
        <v>50</v>
      </c>
      <c r="T328" t="s">
        <v>50</v>
      </c>
      <c r="U328" t="s">
        <v>49</v>
      </c>
      <c r="V328" t="s">
        <v>49</v>
      </c>
      <c r="W328" t="s">
        <v>50</v>
      </c>
      <c r="X328" t="s">
        <v>49</v>
      </c>
      <c r="Y328" t="s">
        <v>50</v>
      </c>
      <c r="Z328">
        <v>0</v>
      </c>
      <c r="AB328">
        <v>0</v>
      </c>
      <c r="AC328">
        <v>0</v>
      </c>
      <c r="AD328" t="s">
        <v>50</v>
      </c>
      <c r="AF328">
        <v>75531</v>
      </c>
      <c r="AH328" t="s">
        <v>50</v>
      </c>
      <c r="AI328" t="s">
        <v>50</v>
      </c>
      <c r="AJ328" t="s">
        <v>51</v>
      </c>
      <c r="AK328" t="s">
        <v>50</v>
      </c>
      <c r="AM328" t="s">
        <v>49</v>
      </c>
      <c r="AN328" t="s">
        <v>1896</v>
      </c>
    </row>
    <row r="329" spans="1:40" x14ac:dyDescent="0.2">
      <c r="A329">
        <v>4963679</v>
      </c>
      <c r="B329" t="s">
        <v>1897</v>
      </c>
      <c r="C329" t="str">
        <f>"9780195128499"</f>
        <v>9780195128499</v>
      </c>
      <c r="D329" t="str">
        <f>"9781280603143"</f>
        <v>9781280603143</v>
      </c>
      <c r="E329" t="s">
        <v>155</v>
      </c>
      <c r="F329" t="s">
        <v>1898</v>
      </c>
      <c r="G329" s="1">
        <v>37622</v>
      </c>
      <c r="H329" s="1">
        <v>1</v>
      </c>
      <c r="I329" t="s">
        <v>43</v>
      </c>
      <c r="K329" t="s">
        <v>1899</v>
      </c>
      <c r="L329" t="s">
        <v>1900</v>
      </c>
      <c r="M329" t="s">
        <v>888</v>
      </c>
      <c r="N329" t="s">
        <v>1901</v>
      </c>
      <c r="O329">
        <v>327</v>
      </c>
      <c r="Q329" t="s">
        <v>48</v>
      </c>
      <c r="R329" t="s">
        <v>50</v>
      </c>
      <c r="S329" t="s">
        <v>50</v>
      </c>
      <c r="T329" t="s">
        <v>50</v>
      </c>
      <c r="U329" t="s">
        <v>49</v>
      </c>
      <c r="V329" t="s">
        <v>49</v>
      </c>
      <c r="W329" t="s">
        <v>50</v>
      </c>
      <c r="X329" t="s">
        <v>49</v>
      </c>
      <c r="Y329" t="s">
        <v>50</v>
      </c>
      <c r="Z329">
        <v>0</v>
      </c>
      <c r="AB329">
        <v>0</v>
      </c>
      <c r="AC329">
        <v>0</v>
      </c>
      <c r="AD329" t="s">
        <v>50</v>
      </c>
      <c r="AF329">
        <v>60314</v>
      </c>
      <c r="AH329" t="s">
        <v>50</v>
      </c>
      <c r="AI329" t="s">
        <v>50</v>
      </c>
      <c r="AJ329" t="s">
        <v>51</v>
      </c>
      <c r="AK329" t="s">
        <v>50</v>
      </c>
      <c r="AM329" t="s">
        <v>49</v>
      </c>
      <c r="AN329" t="s">
        <v>1902</v>
      </c>
    </row>
    <row r="330" spans="1:40" x14ac:dyDescent="0.2">
      <c r="A330">
        <v>4964299</v>
      </c>
      <c r="B330" t="s">
        <v>1903</v>
      </c>
      <c r="C330" t="str">
        <f>"9780195145014"</f>
        <v>9780195145014</v>
      </c>
      <c r="D330" t="str">
        <f>"9781280603303"</f>
        <v>9781280603303</v>
      </c>
      <c r="E330" t="s">
        <v>155</v>
      </c>
      <c r="F330" t="s">
        <v>1898</v>
      </c>
      <c r="G330" s="1">
        <v>37987</v>
      </c>
      <c r="H330" s="1">
        <v>1</v>
      </c>
      <c r="I330" t="s">
        <v>43</v>
      </c>
      <c r="K330" t="s">
        <v>1899</v>
      </c>
      <c r="L330" t="s">
        <v>1904</v>
      </c>
      <c r="M330" t="s">
        <v>888</v>
      </c>
      <c r="N330" t="s">
        <v>1905</v>
      </c>
      <c r="O330">
        <v>327</v>
      </c>
      <c r="Q330" t="s">
        <v>48</v>
      </c>
      <c r="R330" t="s">
        <v>50</v>
      </c>
      <c r="S330" t="s">
        <v>50</v>
      </c>
      <c r="T330" t="s">
        <v>50</v>
      </c>
      <c r="U330" t="s">
        <v>49</v>
      </c>
      <c r="V330" t="s">
        <v>49</v>
      </c>
      <c r="W330" t="s">
        <v>50</v>
      </c>
      <c r="X330" t="s">
        <v>49</v>
      </c>
      <c r="Y330" t="s">
        <v>50</v>
      </c>
      <c r="Z330">
        <v>0</v>
      </c>
      <c r="AB330">
        <v>0</v>
      </c>
      <c r="AC330">
        <v>0</v>
      </c>
      <c r="AD330" t="s">
        <v>50</v>
      </c>
      <c r="AF330">
        <v>60330</v>
      </c>
      <c r="AH330" t="s">
        <v>50</v>
      </c>
      <c r="AI330" t="s">
        <v>50</v>
      </c>
      <c r="AJ330" t="s">
        <v>51</v>
      </c>
      <c r="AK330" t="s">
        <v>50</v>
      </c>
      <c r="AM330" t="s">
        <v>49</v>
      </c>
      <c r="AN330" t="s">
        <v>1906</v>
      </c>
    </row>
    <row r="331" spans="1:40" x14ac:dyDescent="0.2">
      <c r="A331">
        <v>4964528</v>
      </c>
      <c r="B331" t="s">
        <v>1907</v>
      </c>
      <c r="C331" t="str">
        <f>"9780195129205"</f>
        <v>9780195129205</v>
      </c>
      <c r="D331" t="str">
        <f>"9781280564185"</f>
        <v>9781280564185</v>
      </c>
      <c r="E331" t="s">
        <v>155</v>
      </c>
      <c r="F331" t="s">
        <v>1898</v>
      </c>
      <c r="G331" s="1">
        <v>37622</v>
      </c>
      <c r="H331" s="1">
        <v>1</v>
      </c>
      <c r="I331" t="s">
        <v>43</v>
      </c>
      <c r="K331" t="s">
        <v>1899</v>
      </c>
      <c r="L331" t="s">
        <v>1908</v>
      </c>
      <c r="M331" t="s">
        <v>888</v>
      </c>
      <c r="N331" t="s">
        <v>1909</v>
      </c>
      <c r="O331">
        <v>327</v>
      </c>
      <c r="Q331" t="s">
        <v>48</v>
      </c>
      <c r="R331" t="s">
        <v>50</v>
      </c>
      <c r="S331" t="s">
        <v>50</v>
      </c>
      <c r="T331" t="s">
        <v>50</v>
      </c>
      <c r="U331" t="s">
        <v>49</v>
      </c>
      <c r="V331" t="s">
        <v>49</v>
      </c>
      <c r="W331" t="s">
        <v>50</v>
      </c>
      <c r="X331" t="s">
        <v>49</v>
      </c>
      <c r="Y331" t="s">
        <v>50</v>
      </c>
      <c r="Z331">
        <v>0</v>
      </c>
      <c r="AB331">
        <v>0</v>
      </c>
      <c r="AC331">
        <v>0</v>
      </c>
      <c r="AD331" t="s">
        <v>50</v>
      </c>
      <c r="AF331">
        <v>56418</v>
      </c>
      <c r="AH331" t="s">
        <v>50</v>
      </c>
      <c r="AI331" t="s">
        <v>50</v>
      </c>
      <c r="AJ331" t="s">
        <v>51</v>
      </c>
      <c r="AK331" t="s">
        <v>50</v>
      </c>
      <c r="AM331" t="s">
        <v>49</v>
      </c>
      <c r="AN331" t="s">
        <v>1910</v>
      </c>
    </row>
    <row r="332" spans="1:40" x14ac:dyDescent="0.2">
      <c r="A332">
        <v>4964923</v>
      </c>
      <c r="B332" t="s">
        <v>1911</v>
      </c>
      <c r="C332" t="str">
        <f>"9781403942173"</f>
        <v>9781403942173</v>
      </c>
      <c r="D332" t="str">
        <f>"9780230209442"</f>
        <v>9780230209442</v>
      </c>
      <c r="E332" t="s">
        <v>1912</v>
      </c>
      <c r="F332" t="s">
        <v>1912</v>
      </c>
      <c r="G332" s="1">
        <v>38869</v>
      </c>
      <c r="H332" s="1">
        <v>1</v>
      </c>
      <c r="I332" t="s">
        <v>43</v>
      </c>
      <c r="J332">
        <v>2</v>
      </c>
      <c r="L332" t="s">
        <v>1913</v>
      </c>
      <c r="M332" t="s">
        <v>379</v>
      </c>
      <c r="O332">
        <v>610.73018999999999</v>
      </c>
      <c r="P332" t="s">
        <v>379</v>
      </c>
      <c r="Q332" t="s">
        <v>48</v>
      </c>
      <c r="R332" t="s">
        <v>50</v>
      </c>
      <c r="S332" t="s">
        <v>50</v>
      </c>
      <c r="T332" t="s">
        <v>50</v>
      </c>
      <c r="U332" t="s">
        <v>50</v>
      </c>
      <c r="V332" t="s">
        <v>50</v>
      </c>
      <c r="W332" t="s">
        <v>50</v>
      </c>
      <c r="X332" t="s">
        <v>50</v>
      </c>
      <c r="Y332" t="s">
        <v>50</v>
      </c>
      <c r="AB332">
        <v>0</v>
      </c>
      <c r="AD332" t="s">
        <v>50</v>
      </c>
      <c r="AF332">
        <v>86177</v>
      </c>
      <c r="AH332" t="s">
        <v>50</v>
      </c>
      <c r="AI332" t="s">
        <v>50</v>
      </c>
      <c r="AJ332" t="s">
        <v>51</v>
      </c>
      <c r="AK332" t="s">
        <v>50</v>
      </c>
      <c r="AM332" t="s">
        <v>49</v>
      </c>
      <c r="AN332" t="s">
        <v>1914</v>
      </c>
    </row>
    <row r="333" spans="1:40" x14ac:dyDescent="0.2">
      <c r="A333">
        <v>4965006</v>
      </c>
      <c r="B333" t="s">
        <v>1915</v>
      </c>
      <c r="C333" t="str">
        <f>"9781403900302"</f>
        <v>9781403900302</v>
      </c>
      <c r="D333" t="str">
        <f>"9781403913777"</f>
        <v>9781403913777</v>
      </c>
      <c r="E333" t="s">
        <v>1912</v>
      </c>
      <c r="F333" t="s">
        <v>1912</v>
      </c>
      <c r="G333" s="1">
        <v>41773</v>
      </c>
      <c r="H333" s="1">
        <v>1</v>
      </c>
      <c r="I333" t="s">
        <v>43</v>
      </c>
      <c r="J333">
        <v>2</v>
      </c>
      <c r="K333" t="s">
        <v>1916</v>
      </c>
      <c r="L333" t="s">
        <v>1917</v>
      </c>
      <c r="M333" t="s">
        <v>91</v>
      </c>
      <c r="N333" t="s">
        <v>1918</v>
      </c>
      <c r="O333">
        <v>973</v>
      </c>
      <c r="Q333" t="s">
        <v>48</v>
      </c>
      <c r="R333" t="s">
        <v>50</v>
      </c>
      <c r="S333" t="s">
        <v>50</v>
      </c>
      <c r="T333" t="s">
        <v>50</v>
      </c>
      <c r="U333" t="s">
        <v>50</v>
      </c>
      <c r="V333" t="s">
        <v>50</v>
      </c>
      <c r="W333" t="s">
        <v>50</v>
      </c>
      <c r="X333" t="s">
        <v>50</v>
      </c>
      <c r="Y333" t="s">
        <v>50</v>
      </c>
      <c r="AB333">
        <v>0</v>
      </c>
      <c r="AD333" t="s">
        <v>50</v>
      </c>
      <c r="AF333">
        <v>22359</v>
      </c>
      <c r="AH333" t="s">
        <v>50</v>
      </c>
      <c r="AI333" t="s">
        <v>50</v>
      </c>
      <c r="AJ333" t="s">
        <v>51</v>
      </c>
      <c r="AK333" t="s">
        <v>50</v>
      </c>
      <c r="AM333" t="s">
        <v>49</v>
      </c>
      <c r="AN333" t="s">
        <v>1919</v>
      </c>
    </row>
    <row r="334" spans="1:40" x14ac:dyDescent="0.2">
      <c r="A334">
        <v>4965064</v>
      </c>
      <c r="B334" t="s">
        <v>1920</v>
      </c>
      <c r="C334" t="str">
        <f>"9781403941107"</f>
        <v>9781403941107</v>
      </c>
      <c r="D334" t="str">
        <f>"9780230209367"</f>
        <v>9780230209367</v>
      </c>
      <c r="E334" t="s">
        <v>1912</v>
      </c>
      <c r="F334" t="s">
        <v>1912</v>
      </c>
      <c r="G334" s="1">
        <v>38463</v>
      </c>
      <c r="H334" s="1">
        <v>1</v>
      </c>
      <c r="I334" t="s">
        <v>43</v>
      </c>
      <c r="L334" t="s">
        <v>1921</v>
      </c>
      <c r="M334" t="s">
        <v>45</v>
      </c>
      <c r="O334">
        <v>492.71100000000001</v>
      </c>
      <c r="P334" t="s">
        <v>1922</v>
      </c>
      <c r="Q334" t="s">
        <v>48</v>
      </c>
      <c r="R334" t="s">
        <v>50</v>
      </c>
      <c r="S334" t="s">
        <v>50</v>
      </c>
      <c r="T334" t="s">
        <v>50</v>
      </c>
      <c r="U334" t="s">
        <v>50</v>
      </c>
      <c r="V334" t="s">
        <v>50</v>
      </c>
      <c r="W334" t="s">
        <v>50</v>
      </c>
      <c r="X334" t="s">
        <v>50</v>
      </c>
      <c r="Y334" t="s">
        <v>50</v>
      </c>
      <c r="AB334">
        <v>0</v>
      </c>
      <c r="AD334" t="s">
        <v>50</v>
      </c>
      <c r="AF334">
        <v>86176</v>
      </c>
      <c r="AH334" t="s">
        <v>50</v>
      </c>
      <c r="AI334" t="s">
        <v>50</v>
      </c>
      <c r="AJ334" t="s">
        <v>51</v>
      </c>
      <c r="AK334" t="s">
        <v>50</v>
      </c>
      <c r="AM334" t="s">
        <v>49</v>
      </c>
      <c r="AN334" t="s">
        <v>1923</v>
      </c>
    </row>
    <row r="335" spans="1:40" x14ac:dyDescent="0.2">
      <c r="A335">
        <v>4967785</v>
      </c>
      <c r="B335" t="s">
        <v>1924</v>
      </c>
      <c r="C335" t="str">
        <f>"9781844716883"</f>
        <v>9781844716883</v>
      </c>
      <c r="D335" t="str">
        <f>"9781282095427"</f>
        <v>9781282095427</v>
      </c>
      <c r="E335" t="s">
        <v>1925</v>
      </c>
      <c r="F335" t="s">
        <v>1925</v>
      </c>
      <c r="G335" s="1">
        <v>39699</v>
      </c>
      <c r="H335" s="1">
        <v>1</v>
      </c>
      <c r="I335" t="s">
        <v>43</v>
      </c>
      <c r="L335" t="s">
        <v>1926</v>
      </c>
      <c r="M335" t="s">
        <v>1927</v>
      </c>
      <c r="O335">
        <v>821.92</v>
      </c>
      <c r="Q335" t="s">
        <v>48</v>
      </c>
      <c r="R335" t="s">
        <v>50</v>
      </c>
      <c r="S335" t="s">
        <v>50</v>
      </c>
      <c r="T335" t="s">
        <v>50</v>
      </c>
      <c r="U335" t="s">
        <v>49</v>
      </c>
      <c r="V335" t="s">
        <v>49</v>
      </c>
      <c r="W335" t="s">
        <v>50</v>
      </c>
      <c r="X335" t="s">
        <v>49</v>
      </c>
      <c r="Y335" t="s">
        <v>50</v>
      </c>
      <c r="Z335">
        <v>0</v>
      </c>
      <c r="AA335">
        <v>0</v>
      </c>
      <c r="AB335">
        <v>0</v>
      </c>
      <c r="AD335" t="s">
        <v>50</v>
      </c>
      <c r="AF335">
        <v>209542</v>
      </c>
      <c r="AH335" t="s">
        <v>50</v>
      </c>
      <c r="AI335" t="s">
        <v>50</v>
      </c>
      <c r="AJ335" t="s">
        <v>51</v>
      </c>
      <c r="AK335" t="s">
        <v>50</v>
      </c>
      <c r="AM335" t="s">
        <v>49</v>
      </c>
      <c r="AN335" t="s">
        <v>1928</v>
      </c>
    </row>
    <row r="336" spans="1:40" x14ac:dyDescent="0.2">
      <c r="A336">
        <v>4977031</v>
      </c>
      <c r="B336" t="s">
        <v>1929</v>
      </c>
      <c r="C336" t="str">
        <f>""</f>
        <v/>
      </c>
      <c r="D336" t="str">
        <f>"9781282071025"</f>
        <v>9781282071025</v>
      </c>
      <c r="E336" t="s">
        <v>41</v>
      </c>
      <c r="F336" t="s">
        <v>302</v>
      </c>
      <c r="G336" s="1">
        <v>40553</v>
      </c>
      <c r="H336" s="1">
        <v>1</v>
      </c>
      <c r="I336" t="s">
        <v>43</v>
      </c>
      <c r="J336">
        <v>9</v>
      </c>
      <c r="L336" t="s">
        <v>1930</v>
      </c>
      <c r="M336" t="s">
        <v>416</v>
      </c>
      <c r="O336">
        <v>909.82</v>
      </c>
      <c r="Q336" t="s">
        <v>48</v>
      </c>
      <c r="R336" t="s">
        <v>50</v>
      </c>
      <c r="S336" t="s">
        <v>50</v>
      </c>
      <c r="T336" t="s">
        <v>50</v>
      </c>
      <c r="U336" t="s">
        <v>49</v>
      </c>
      <c r="V336" t="s">
        <v>49</v>
      </c>
      <c r="W336" t="s">
        <v>50</v>
      </c>
      <c r="X336" t="s">
        <v>49</v>
      </c>
      <c r="Y336" t="s">
        <v>50</v>
      </c>
      <c r="AA336">
        <v>0</v>
      </c>
      <c r="AB336">
        <v>0</v>
      </c>
      <c r="AD336" t="s">
        <v>50</v>
      </c>
      <c r="AF336">
        <v>207102</v>
      </c>
      <c r="AH336" t="s">
        <v>50</v>
      </c>
      <c r="AI336" t="s">
        <v>50</v>
      </c>
      <c r="AJ336" t="s">
        <v>51</v>
      </c>
      <c r="AK336" t="s">
        <v>50</v>
      </c>
      <c r="AM336" t="s">
        <v>49</v>
      </c>
      <c r="AN336" t="s">
        <v>1931</v>
      </c>
    </row>
    <row r="337" spans="1:40" x14ac:dyDescent="0.2">
      <c r="A337">
        <v>4978225</v>
      </c>
      <c r="B337" t="s">
        <v>1932</v>
      </c>
      <c r="C337" t="str">
        <f>"9780803235748"</f>
        <v>9780803235748</v>
      </c>
      <c r="D337" t="str">
        <f>"9780803250697"</f>
        <v>9780803250697</v>
      </c>
      <c r="E337" t="s">
        <v>1201</v>
      </c>
      <c r="F337" t="s">
        <v>1201</v>
      </c>
      <c r="G337" s="1">
        <v>38687</v>
      </c>
      <c r="H337" s="1">
        <v>1</v>
      </c>
      <c r="I337" t="s">
        <v>43</v>
      </c>
      <c r="K337" t="s">
        <v>1933</v>
      </c>
      <c r="L337" t="s">
        <v>1934</v>
      </c>
      <c r="M337" t="s">
        <v>115</v>
      </c>
      <c r="N337" t="s">
        <v>1935</v>
      </c>
      <c r="O337">
        <v>305.89699999999999</v>
      </c>
      <c r="Q337" t="s">
        <v>48</v>
      </c>
      <c r="R337" t="s">
        <v>50</v>
      </c>
      <c r="S337" t="s">
        <v>50</v>
      </c>
      <c r="T337" t="s">
        <v>50</v>
      </c>
      <c r="U337" t="s">
        <v>49</v>
      </c>
      <c r="V337" t="s">
        <v>49</v>
      </c>
      <c r="W337" t="s">
        <v>50</v>
      </c>
      <c r="X337" t="s">
        <v>49</v>
      </c>
      <c r="Y337" t="s">
        <v>50</v>
      </c>
      <c r="Z337">
        <v>0</v>
      </c>
      <c r="AA337">
        <v>0</v>
      </c>
      <c r="AB337">
        <v>0</v>
      </c>
      <c r="AC337">
        <v>0</v>
      </c>
      <c r="AD337" t="s">
        <v>50</v>
      </c>
      <c r="AF337">
        <v>37464</v>
      </c>
      <c r="AH337" t="s">
        <v>50</v>
      </c>
      <c r="AI337" t="s">
        <v>50</v>
      </c>
      <c r="AJ337" t="s">
        <v>51</v>
      </c>
      <c r="AK337" t="s">
        <v>50</v>
      </c>
      <c r="AM337" t="s">
        <v>49</v>
      </c>
      <c r="AN337" t="s">
        <v>1936</v>
      </c>
    </row>
    <row r="338" spans="1:40" x14ac:dyDescent="0.2">
      <c r="A338">
        <v>4978837</v>
      </c>
      <c r="B338" t="s">
        <v>1937</v>
      </c>
      <c r="C338" t="str">
        <f>"9780300124262"</f>
        <v>9780300124262</v>
      </c>
      <c r="D338" t="str">
        <f>"9780300124262"</f>
        <v>9780300124262</v>
      </c>
      <c r="E338" t="s">
        <v>1459</v>
      </c>
      <c r="F338" t="s">
        <v>1459</v>
      </c>
      <c r="G338" s="1">
        <v>39882</v>
      </c>
      <c r="H338" s="1">
        <v>1</v>
      </c>
      <c r="I338" t="s">
        <v>43</v>
      </c>
      <c r="J338">
        <v>3</v>
      </c>
      <c r="L338" t="s">
        <v>1938</v>
      </c>
      <c r="M338" t="s">
        <v>296</v>
      </c>
      <c r="N338" t="s">
        <v>1939</v>
      </c>
      <c r="O338">
        <v>962.05309999999997</v>
      </c>
      <c r="Q338" t="s">
        <v>48</v>
      </c>
      <c r="R338" t="s">
        <v>50</v>
      </c>
      <c r="S338" t="s">
        <v>50</v>
      </c>
      <c r="T338" t="s">
        <v>50</v>
      </c>
      <c r="U338" t="s">
        <v>49</v>
      </c>
      <c r="V338" t="s">
        <v>49</v>
      </c>
      <c r="W338" t="s">
        <v>50</v>
      </c>
      <c r="X338" t="s">
        <v>49</v>
      </c>
      <c r="Y338" t="s">
        <v>50</v>
      </c>
      <c r="AB338">
        <v>0</v>
      </c>
      <c r="AD338" t="s">
        <v>50</v>
      </c>
      <c r="AF338">
        <v>208886</v>
      </c>
      <c r="AH338" t="s">
        <v>50</v>
      </c>
      <c r="AI338" t="s">
        <v>50</v>
      </c>
      <c r="AJ338" t="s">
        <v>51</v>
      </c>
      <c r="AK338" t="s">
        <v>50</v>
      </c>
      <c r="AM338" t="s">
        <v>49</v>
      </c>
      <c r="AN338" t="s">
        <v>1940</v>
      </c>
    </row>
    <row r="339" spans="1:40" x14ac:dyDescent="0.2">
      <c r="A339">
        <v>5065461</v>
      </c>
      <c r="B339" t="s">
        <v>1941</v>
      </c>
      <c r="C339" t="str">
        <f>"9781933251431"</f>
        <v>9781933251431</v>
      </c>
      <c r="D339" t="str">
        <f>"9781281311955"</f>
        <v>9781281311955</v>
      </c>
      <c r="E339" t="s">
        <v>1942</v>
      </c>
      <c r="F339" t="s">
        <v>1943</v>
      </c>
      <c r="G339" s="1">
        <v>39448</v>
      </c>
      <c r="H339" s="1">
        <v>43025</v>
      </c>
      <c r="I339" t="s">
        <v>43</v>
      </c>
      <c r="L339" t="s">
        <v>1944</v>
      </c>
      <c r="M339" t="s">
        <v>220</v>
      </c>
      <c r="N339" t="s">
        <v>1945</v>
      </c>
      <c r="O339">
        <v>917.56</v>
      </c>
      <c r="Q339" t="s">
        <v>48</v>
      </c>
      <c r="R339" t="s">
        <v>50</v>
      </c>
      <c r="S339" t="s">
        <v>50</v>
      </c>
      <c r="T339" t="s">
        <v>50</v>
      </c>
      <c r="U339" t="s">
        <v>50</v>
      </c>
      <c r="V339" t="s">
        <v>50</v>
      </c>
      <c r="W339" t="s">
        <v>50</v>
      </c>
      <c r="X339" t="s">
        <v>50</v>
      </c>
      <c r="Y339" t="s">
        <v>50</v>
      </c>
      <c r="AD339" t="s">
        <v>50</v>
      </c>
      <c r="AF339">
        <v>131195</v>
      </c>
      <c r="AH339" t="s">
        <v>50</v>
      </c>
      <c r="AI339" t="s">
        <v>50</v>
      </c>
      <c r="AJ339" t="s">
        <v>51</v>
      </c>
      <c r="AK339" t="s">
        <v>50</v>
      </c>
      <c r="AM339" t="s">
        <v>49</v>
      </c>
      <c r="AN339" t="s">
        <v>1946</v>
      </c>
    </row>
    <row r="340" spans="1:40" x14ac:dyDescent="0.2">
      <c r="A340">
        <v>5067058</v>
      </c>
      <c r="B340" t="s">
        <v>1947</v>
      </c>
      <c r="C340" t="str">
        <f>"9781887905541"</f>
        <v>9781887905541</v>
      </c>
      <c r="D340" t="str">
        <f>"9781281751584"</f>
        <v>9781281751584</v>
      </c>
      <c r="E340" t="s">
        <v>1942</v>
      </c>
      <c r="F340" t="s">
        <v>1943</v>
      </c>
      <c r="G340" s="1">
        <v>37257</v>
      </c>
      <c r="H340" s="1">
        <v>43025</v>
      </c>
      <c r="I340" t="s">
        <v>43</v>
      </c>
      <c r="L340" t="s">
        <v>1948</v>
      </c>
      <c r="M340" t="s">
        <v>1949</v>
      </c>
      <c r="N340" t="s">
        <v>1950</v>
      </c>
      <c r="O340">
        <v>332.10939999999999</v>
      </c>
      <c r="Q340" t="s">
        <v>48</v>
      </c>
      <c r="R340" t="s">
        <v>50</v>
      </c>
      <c r="S340" t="s">
        <v>50</v>
      </c>
      <c r="T340" t="s">
        <v>50</v>
      </c>
      <c r="U340" t="s">
        <v>50</v>
      </c>
      <c r="V340" t="s">
        <v>50</v>
      </c>
      <c r="W340" t="s">
        <v>50</v>
      </c>
      <c r="X340" t="s">
        <v>50</v>
      </c>
      <c r="Y340" t="s">
        <v>50</v>
      </c>
      <c r="AD340" t="s">
        <v>50</v>
      </c>
      <c r="AF340">
        <v>175158</v>
      </c>
      <c r="AH340" t="s">
        <v>50</v>
      </c>
      <c r="AI340" t="s">
        <v>50</v>
      </c>
      <c r="AJ340" t="s">
        <v>51</v>
      </c>
      <c r="AK340" t="s">
        <v>50</v>
      </c>
      <c r="AM340" t="s">
        <v>49</v>
      </c>
      <c r="AN340" t="s">
        <v>1951</v>
      </c>
    </row>
    <row r="341" spans="1:40" x14ac:dyDescent="0.2">
      <c r="A341">
        <v>5067059</v>
      </c>
      <c r="B341" t="s">
        <v>1952</v>
      </c>
      <c r="C341" t="str">
        <f>"9781933251417"</f>
        <v>9781933251417</v>
      </c>
      <c r="D341" t="str">
        <f>"9781281311948"</f>
        <v>9781281311948</v>
      </c>
      <c r="E341" t="s">
        <v>1942</v>
      </c>
      <c r="F341" t="s">
        <v>1943</v>
      </c>
      <c r="G341" s="1">
        <v>39083</v>
      </c>
      <c r="H341" s="1">
        <v>43025</v>
      </c>
      <c r="I341" t="s">
        <v>43</v>
      </c>
      <c r="L341" t="s">
        <v>1953</v>
      </c>
      <c r="M341" t="s">
        <v>91</v>
      </c>
      <c r="O341">
        <v>975.68430000000001</v>
      </c>
      <c r="Q341" t="s">
        <v>48</v>
      </c>
      <c r="R341" t="s">
        <v>50</v>
      </c>
      <c r="S341" t="s">
        <v>50</v>
      </c>
      <c r="T341" t="s">
        <v>50</v>
      </c>
      <c r="U341" t="s">
        <v>50</v>
      </c>
      <c r="V341" t="s">
        <v>50</v>
      </c>
      <c r="W341" t="s">
        <v>50</v>
      </c>
      <c r="X341" t="s">
        <v>50</v>
      </c>
      <c r="Y341" t="s">
        <v>50</v>
      </c>
      <c r="AD341" t="s">
        <v>50</v>
      </c>
      <c r="AF341">
        <v>131194</v>
      </c>
      <c r="AH341" t="s">
        <v>50</v>
      </c>
      <c r="AI341" t="s">
        <v>50</v>
      </c>
      <c r="AJ341" t="s">
        <v>51</v>
      </c>
      <c r="AK341" t="s">
        <v>50</v>
      </c>
      <c r="AM341" t="s">
        <v>49</v>
      </c>
      <c r="AN341" t="s">
        <v>1954</v>
      </c>
    </row>
    <row r="342" spans="1:40" x14ac:dyDescent="0.2">
      <c r="A342">
        <v>5067387</v>
      </c>
      <c r="B342" t="s">
        <v>1955</v>
      </c>
      <c r="C342" t="str">
        <f>"9781887905428"</f>
        <v>9781887905428</v>
      </c>
      <c r="D342" t="str">
        <f>"9781281751577"</f>
        <v>9781281751577</v>
      </c>
      <c r="E342" t="s">
        <v>1942</v>
      </c>
      <c r="F342" t="s">
        <v>1943</v>
      </c>
      <c r="G342" s="1">
        <v>38473</v>
      </c>
      <c r="H342" s="1">
        <v>43025</v>
      </c>
      <c r="I342" t="s">
        <v>43</v>
      </c>
      <c r="L342" t="s">
        <v>1956</v>
      </c>
      <c r="M342" t="s">
        <v>58</v>
      </c>
      <c r="N342" t="s">
        <v>1957</v>
      </c>
      <c r="O342">
        <v>388.34209756000001</v>
      </c>
      <c r="Q342" t="s">
        <v>48</v>
      </c>
      <c r="R342" t="s">
        <v>50</v>
      </c>
      <c r="S342" t="s">
        <v>50</v>
      </c>
      <c r="T342" t="s">
        <v>50</v>
      </c>
      <c r="U342" t="s">
        <v>50</v>
      </c>
      <c r="V342" t="s">
        <v>50</v>
      </c>
      <c r="W342" t="s">
        <v>50</v>
      </c>
      <c r="X342" t="s">
        <v>50</v>
      </c>
      <c r="Y342" t="s">
        <v>50</v>
      </c>
      <c r="AD342" t="s">
        <v>50</v>
      </c>
      <c r="AF342">
        <v>175157</v>
      </c>
      <c r="AH342" t="s">
        <v>50</v>
      </c>
      <c r="AI342" t="s">
        <v>50</v>
      </c>
      <c r="AJ342" t="s">
        <v>51</v>
      </c>
      <c r="AK342" t="s">
        <v>50</v>
      </c>
      <c r="AM342" t="s">
        <v>49</v>
      </c>
      <c r="AN342" t="s">
        <v>1958</v>
      </c>
    </row>
    <row r="343" spans="1:40" x14ac:dyDescent="0.2">
      <c r="A343">
        <v>5069038</v>
      </c>
      <c r="B343" t="s">
        <v>1959</v>
      </c>
      <c r="C343" t="str">
        <f>"9781933251233"</f>
        <v>9781933251233</v>
      </c>
      <c r="D343" t="str">
        <f>"9781281751690"</f>
        <v>9781281751690</v>
      </c>
      <c r="E343" t="s">
        <v>1942</v>
      </c>
      <c r="F343" t="s">
        <v>1943</v>
      </c>
      <c r="G343" s="1">
        <v>38961</v>
      </c>
      <c r="H343" s="1">
        <v>43025</v>
      </c>
      <c r="I343" t="s">
        <v>43</v>
      </c>
      <c r="L343" t="s">
        <v>1960</v>
      </c>
      <c r="M343" t="s">
        <v>1961</v>
      </c>
      <c r="N343" t="s">
        <v>1962</v>
      </c>
      <c r="O343">
        <v>333.75160976000001</v>
      </c>
      <c r="Q343" t="s">
        <v>48</v>
      </c>
      <c r="R343" t="s">
        <v>50</v>
      </c>
      <c r="S343" t="s">
        <v>50</v>
      </c>
      <c r="T343" t="s">
        <v>50</v>
      </c>
      <c r="U343" t="s">
        <v>50</v>
      </c>
      <c r="V343" t="s">
        <v>50</v>
      </c>
      <c r="W343" t="s">
        <v>50</v>
      </c>
      <c r="X343" t="s">
        <v>50</v>
      </c>
      <c r="Y343" t="s">
        <v>50</v>
      </c>
      <c r="AD343" t="s">
        <v>50</v>
      </c>
      <c r="AF343">
        <v>175169</v>
      </c>
      <c r="AH343" t="s">
        <v>50</v>
      </c>
      <c r="AI343" t="s">
        <v>50</v>
      </c>
      <c r="AJ343" t="s">
        <v>51</v>
      </c>
      <c r="AK343" t="s">
        <v>50</v>
      </c>
      <c r="AM343" t="s">
        <v>49</v>
      </c>
      <c r="AN343" t="s">
        <v>1963</v>
      </c>
    </row>
    <row r="344" spans="1:40" x14ac:dyDescent="0.2">
      <c r="A344">
        <v>5069351</v>
      </c>
      <c r="B344" t="s">
        <v>1964</v>
      </c>
      <c r="C344" t="str">
        <f>"9781887905985"</f>
        <v>9781887905985</v>
      </c>
      <c r="D344" t="str">
        <f>"9781281751621"</f>
        <v>9781281751621</v>
      </c>
      <c r="E344" t="s">
        <v>1942</v>
      </c>
      <c r="F344" t="s">
        <v>1943</v>
      </c>
      <c r="G344" s="1">
        <v>38420</v>
      </c>
      <c r="H344" s="1">
        <v>43025</v>
      </c>
      <c r="I344" t="s">
        <v>43</v>
      </c>
      <c r="L344" t="s">
        <v>1965</v>
      </c>
      <c r="M344" t="s">
        <v>91</v>
      </c>
      <c r="N344" t="s">
        <v>1966</v>
      </c>
      <c r="O344">
        <v>975.6</v>
      </c>
      <c r="Q344" t="s">
        <v>48</v>
      </c>
      <c r="R344" t="s">
        <v>50</v>
      </c>
      <c r="S344" t="s">
        <v>50</v>
      </c>
      <c r="T344" t="s">
        <v>50</v>
      </c>
      <c r="U344" t="s">
        <v>50</v>
      </c>
      <c r="V344" t="s">
        <v>50</v>
      </c>
      <c r="W344" t="s">
        <v>50</v>
      </c>
      <c r="X344" t="s">
        <v>50</v>
      </c>
      <c r="Y344" t="s">
        <v>50</v>
      </c>
      <c r="AD344" t="s">
        <v>50</v>
      </c>
      <c r="AF344">
        <v>175162</v>
      </c>
      <c r="AH344" t="s">
        <v>50</v>
      </c>
      <c r="AI344" t="s">
        <v>50</v>
      </c>
      <c r="AJ344" t="s">
        <v>51</v>
      </c>
      <c r="AK344" t="s">
        <v>50</v>
      </c>
      <c r="AM344" t="s">
        <v>49</v>
      </c>
      <c r="AN344" t="s">
        <v>1967</v>
      </c>
    </row>
    <row r="345" spans="1:40" x14ac:dyDescent="0.2">
      <c r="A345">
        <v>5070417</v>
      </c>
      <c r="B345" t="s">
        <v>1968</v>
      </c>
      <c r="C345" t="str">
        <f>"9781887905862"</f>
        <v>9781887905862</v>
      </c>
      <c r="D345" t="str">
        <f>"9781281751591"</f>
        <v>9781281751591</v>
      </c>
      <c r="E345" t="s">
        <v>1942</v>
      </c>
      <c r="F345" t="s">
        <v>1943</v>
      </c>
      <c r="G345" s="1">
        <v>37987</v>
      </c>
      <c r="H345" s="1">
        <v>43025</v>
      </c>
      <c r="I345" t="s">
        <v>43</v>
      </c>
      <c r="L345" t="s">
        <v>1969</v>
      </c>
      <c r="M345" t="s">
        <v>1970</v>
      </c>
      <c r="N345" t="s">
        <v>1971</v>
      </c>
      <c r="O345">
        <v>332.10919999999999</v>
      </c>
      <c r="Q345" t="s">
        <v>48</v>
      </c>
      <c r="R345" t="s">
        <v>50</v>
      </c>
      <c r="S345" t="s">
        <v>50</v>
      </c>
      <c r="T345" t="s">
        <v>50</v>
      </c>
      <c r="U345" t="s">
        <v>50</v>
      </c>
      <c r="V345" t="s">
        <v>50</v>
      </c>
      <c r="W345" t="s">
        <v>50</v>
      </c>
      <c r="X345" t="s">
        <v>50</v>
      </c>
      <c r="Y345" t="s">
        <v>50</v>
      </c>
      <c r="AD345" t="s">
        <v>50</v>
      </c>
      <c r="AF345">
        <v>175159</v>
      </c>
      <c r="AH345" t="s">
        <v>50</v>
      </c>
      <c r="AI345" t="s">
        <v>50</v>
      </c>
      <c r="AJ345" t="s">
        <v>51</v>
      </c>
      <c r="AK345" t="s">
        <v>50</v>
      </c>
      <c r="AM345" t="s">
        <v>49</v>
      </c>
      <c r="AN345" t="s">
        <v>1972</v>
      </c>
    </row>
    <row r="346" spans="1:40" x14ac:dyDescent="0.2">
      <c r="A346">
        <v>5071852</v>
      </c>
      <c r="B346" t="s">
        <v>1973</v>
      </c>
      <c r="C346" t="str">
        <f>"9781933251264"</f>
        <v>9781933251264</v>
      </c>
      <c r="D346" t="str">
        <f>"9781281311887"</f>
        <v>9781281311887</v>
      </c>
      <c r="E346" t="s">
        <v>1942</v>
      </c>
      <c r="F346" t="s">
        <v>1943</v>
      </c>
      <c r="G346" s="1">
        <v>38749</v>
      </c>
      <c r="H346" s="1">
        <v>43025</v>
      </c>
      <c r="I346" t="s">
        <v>43</v>
      </c>
      <c r="L346" t="s">
        <v>1974</v>
      </c>
      <c r="M346" t="s">
        <v>91</v>
      </c>
      <c r="N346" t="s">
        <v>1975</v>
      </c>
      <c r="O346">
        <v>975.68430000000001</v>
      </c>
      <c r="Q346" t="s">
        <v>48</v>
      </c>
      <c r="R346" t="s">
        <v>50</v>
      </c>
      <c r="S346" t="s">
        <v>50</v>
      </c>
      <c r="T346" t="s">
        <v>50</v>
      </c>
      <c r="U346" t="s">
        <v>50</v>
      </c>
      <c r="V346" t="s">
        <v>50</v>
      </c>
      <c r="W346" t="s">
        <v>50</v>
      </c>
      <c r="X346" t="s">
        <v>50</v>
      </c>
      <c r="Y346" t="s">
        <v>50</v>
      </c>
      <c r="AD346" t="s">
        <v>50</v>
      </c>
      <c r="AF346">
        <v>131188</v>
      </c>
      <c r="AH346" t="s">
        <v>50</v>
      </c>
      <c r="AI346" t="s">
        <v>50</v>
      </c>
      <c r="AJ346" t="s">
        <v>51</v>
      </c>
      <c r="AK346" t="s">
        <v>50</v>
      </c>
      <c r="AM346" t="s">
        <v>49</v>
      </c>
      <c r="AN346" t="s">
        <v>1976</v>
      </c>
    </row>
    <row r="347" spans="1:40" x14ac:dyDescent="0.2">
      <c r="A347">
        <v>5072224</v>
      </c>
      <c r="B347" t="s">
        <v>1977</v>
      </c>
      <c r="C347" t="str">
        <f>"9781933251257"</f>
        <v>9781933251257</v>
      </c>
      <c r="D347" t="str">
        <f>"9781281311870"</f>
        <v>9781281311870</v>
      </c>
      <c r="E347" t="s">
        <v>1942</v>
      </c>
      <c r="F347" t="s">
        <v>1943</v>
      </c>
      <c r="G347" s="1">
        <v>38353</v>
      </c>
      <c r="H347" s="1">
        <v>43025</v>
      </c>
      <c r="I347" t="s">
        <v>43</v>
      </c>
      <c r="L347" t="s">
        <v>1978</v>
      </c>
      <c r="M347" t="s">
        <v>91</v>
      </c>
      <c r="N347" t="s">
        <v>1979</v>
      </c>
      <c r="O347">
        <v>973.74199999999996</v>
      </c>
      <c r="Q347" t="s">
        <v>48</v>
      </c>
      <c r="R347" t="s">
        <v>50</v>
      </c>
      <c r="S347" t="s">
        <v>50</v>
      </c>
      <c r="T347" t="s">
        <v>50</v>
      </c>
      <c r="U347" t="s">
        <v>50</v>
      </c>
      <c r="V347" t="s">
        <v>50</v>
      </c>
      <c r="W347" t="s">
        <v>50</v>
      </c>
      <c r="X347" t="s">
        <v>50</v>
      </c>
      <c r="Y347" t="s">
        <v>50</v>
      </c>
      <c r="AD347" t="s">
        <v>50</v>
      </c>
      <c r="AF347">
        <v>131187</v>
      </c>
      <c r="AH347" t="s">
        <v>50</v>
      </c>
      <c r="AI347" t="s">
        <v>50</v>
      </c>
      <c r="AJ347" t="s">
        <v>51</v>
      </c>
      <c r="AK347" t="s">
        <v>50</v>
      </c>
      <c r="AM347" t="s">
        <v>49</v>
      </c>
      <c r="AN347" t="s">
        <v>1980</v>
      </c>
    </row>
    <row r="348" spans="1:40" x14ac:dyDescent="0.2">
      <c r="A348">
        <v>5072517</v>
      </c>
      <c r="B348" t="s">
        <v>1981</v>
      </c>
      <c r="C348" t="str">
        <f>"9781426465406"</f>
        <v>9781426465406</v>
      </c>
      <c r="D348" t="str">
        <f>"9781281858368"</f>
        <v>9781281858368</v>
      </c>
      <c r="E348" t="s">
        <v>1982</v>
      </c>
      <c r="F348" t="s">
        <v>1982</v>
      </c>
      <c r="G348" s="1">
        <v>39366</v>
      </c>
      <c r="H348" s="1">
        <v>43025</v>
      </c>
      <c r="I348" t="s">
        <v>43</v>
      </c>
      <c r="L348" t="s">
        <v>1983</v>
      </c>
      <c r="M348" t="s">
        <v>91</v>
      </c>
      <c r="O348">
        <v>975.6703</v>
      </c>
      <c r="Q348" t="s">
        <v>48</v>
      </c>
      <c r="R348" t="s">
        <v>50</v>
      </c>
      <c r="S348" t="s">
        <v>50</v>
      </c>
      <c r="T348" t="s">
        <v>50</v>
      </c>
      <c r="U348" t="s">
        <v>50</v>
      </c>
      <c r="V348" t="s">
        <v>50</v>
      </c>
      <c r="W348" t="s">
        <v>50</v>
      </c>
      <c r="X348" t="s">
        <v>50</v>
      </c>
      <c r="Y348" t="s">
        <v>50</v>
      </c>
      <c r="AD348" t="s">
        <v>50</v>
      </c>
      <c r="AF348">
        <v>185836</v>
      </c>
      <c r="AH348" t="s">
        <v>50</v>
      </c>
      <c r="AI348" t="s">
        <v>50</v>
      </c>
      <c r="AJ348" t="s">
        <v>51</v>
      </c>
      <c r="AK348" t="s">
        <v>50</v>
      </c>
      <c r="AM348" t="s">
        <v>49</v>
      </c>
      <c r="AN348" t="s">
        <v>1984</v>
      </c>
    </row>
    <row r="349" spans="1:40" x14ac:dyDescent="0.2">
      <c r="A349">
        <v>5072524</v>
      </c>
      <c r="B349" t="s">
        <v>1985</v>
      </c>
      <c r="C349" t="str">
        <f>"9781881798651"</f>
        <v>9781881798651</v>
      </c>
      <c r="D349" t="str">
        <f>"9781281856104"</f>
        <v>9781281856104</v>
      </c>
      <c r="E349" t="s">
        <v>1986</v>
      </c>
      <c r="F349" t="s">
        <v>1986</v>
      </c>
      <c r="G349" s="1">
        <v>38548</v>
      </c>
      <c r="H349" s="1">
        <v>43025</v>
      </c>
      <c r="I349" t="s">
        <v>43</v>
      </c>
      <c r="L349" t="s">
        <v>1987</v>
      </c>
      <c r="M349" t="s">
        <v>234</v>
      </c>
      <c r="O349">
        <v>364.2</v>
      </c>
      <c r="Q349" t="s">
        <v>48</v>
      </c>
      <c r="R349" t="s">
        <v>50</v>
      </c>
      <c r="S349" t="s">
        <v>50</v>
      </c>
      <c r="T349" t="s">
        <v>50</v>
      </c>
      <c r="U349" t="s">
        <v>50</v>
      </c>
      <c r="V349" t="s">
        <v>50</v>
      </c>
      <c r="W349" t="s">
        <v>50</v>
      </c>
      <c r="X349" t="s">
        <v>50</v>
      </c>
      <c r="Y349" t="s">
        <v>50</v>
      </c>
      <c r="AD349" t="s">
        <v>50</v>
      </c>
      <c r="AF349">
        <v>185610</v>
      </c>
      <c r="AH349" t="s">
        <v>50</v>
      </c>
      <c r="AI349" t="s">
        <v>50</v>
      </c>
      <c r="AJ349" t="s">
        <v>51</v>
      </c>
      <c r="AK349" t="s">
        <v>50</v>
      </c>
      <c r="AM349" t="s">
        <v>49</v>
      </c>
      <c r="AN349" t="s">
        <v>1988</v>
      </c>
    </row>
    <row r="350" spans="1:40" x14ac:dyDescent="0.2">
      <c r="A350">
        <v>5073265</v>
      </c>
      <c r="B350" t="s">
        <v>1989</v>
      </c>
      <c r="C350" t="str">
        <f>"9781933251080"</f>
        <v>9781933251080</v>
      </c>
      <c r="D350" t="str">
        <f>"9781281311856"</f>
        <v>9781281311856</v>
      </c>
      <c r="E350" t="s">
        <v>1942</v>
      </c>
      <c r="F350" t="s">
        <v>1943</v>
      </c>
      <c r="G350" s="1">
        <v>38353</v>
      </c>
      <c r="H350" s="1">
        <v>43025</v>
      </c>
      <c r="I350" t="s">
        <v>43</v>
      </c>
      <c r="L350" t="s">
        <v>1990</v>
      </c>
      <c r="M350" t="s">
        <v>1991</v>
      </c>
      <c r="N350" t="s">
        <v>1992</v>
      </c>
      <c r="O350">
        <v>680.97400000000005</v>
      </c>
      <c r="Q350" t="s">
        <v>48</v>
      </c>
      <c r="R350" t="s">
        <v>50</v>
      </c>
      <c r="S350" t="s">
        <v>50</v>
      </c>
      <c r="T350" t="s">
        <v>50</v>
      </c>
      <c r="U350" t="s">
        <v>50</v>
      </c>
      <c r="V350" t="s">
        <v>50</v>
      </c>
      <c r="W350" t="s">
        <v>50</v>
      </c>
      <c r="X350" t="s">
        <v>50</v>
      </c>
      <c r="Y350" t="s">
        <v>50</v>
      </c>
      <c r="AD350" t="s">
        <v>50</v>
      </c>
      <c r="AF350">
        <v>131185</v>
      </c>
      <c r="AH350" t="s">
        <v>50</v>
      </c>
      <c r="AI350" t="s">
        <v>50</v>
      </c>
      <c r="AJ350" t="s">
        <v>51</v>
      </c>
      <c r="AK350" t="s">
        <v>50</v>
      </c>
      <c r="AM350" t="s">
        <v>49</v>
      </c>
      <c r="AN350" t="s">
        <v>1993</v>
      </c>
    </row>
    <row r="351" spans="1:40" x14ac:dyDescent="0.2">
      <c r="A351">
        <v>5078178</v>
      </c>
      <c r="B351" t="s">
        <v>1994</v>
      </c>
      <c r="C351" t="str">
        <f>"9781933251059"</f>
        <v>9781933251059</v>
      </c>
      <c r="D351" t="str">
        <f>"9781281771469"</f>
        <v>9781281771469</v>
      </c>
      <c r="E351" t="s">
        <v>1942</v>
      </c>
      <c r="F351" t="s">
        <v>1942</v>
      </c>
      <c r="G351" s="1">
        <v>36165</v>
      </c>
      <c r="H351" s="1">
        <v>1</v>
      </c>
      <c r="I351" t="s">
        <v>43</v>
      </c>
      <c r="L351" t="s">
        <v>1995</v>
      </c>
      <c r="M351" t="s">
        <v>1996</v>
      </c>
      <c r="N351" t="s">
        <v>1997</v>
      </c>
      <c r="O351">
        <v>338.4</v>
      </c>
      <c r="Q351" t="s">
        <v>48</v>
      </c>
      <c r="R351" t="s">
        <v>50</v>
      </c>
      <c r="S351" t="s">
        <v>50</v>
      </c>
      <c r="T351" t="s">
        <v>50</v>
      </c>
      <c r="U351" t="s">
        <v>50</v>
      </c>
      <c r="V351" t="s">
        <v>50</v>
      </c>
      <c r="W351" t="s">
        <v>50</v>
      </c>
      <c r="X351" t="s">
        <v>50</v>
      </c>
      <c r="Y351" t="s">
        <v>50</v>
      </c>
      <c r="AD351" t="s">
        <v>50</v>
      </c>
      <c r="AF351">
        <v>177146</v>
      </c>
      <c r="AH351" t="s">
        <v>50</v>
      </c>
      <c r="AI351" t="s">
        <v>50</v>
      </c>
      <c r="AJ351" t="s">
        <v>51</v>
      </c>
      <c r="AK351" t="s">
        <v>50</v>
      </c>
      <c r="AM351" t="s">
        <v>49</v>
      </c>
      <c r="AN351" t="s">
        <v>1998</v>
      </c>
    </row>
    <row r="352" spans="1:40" x14ac:dyDescent="0.2">
      <c r="A352">
        <v>5079882</v>
      </c>
      <c r="B352" t="s">
        <v>1999</v>
      </c>
      <c r="C352" t="str">
        <f>"9781933251363"</f>
        <v>9781933251363</v>
      </c>
      <c r="D352" t="str">
        <f>"9781281744005"</f>
        <v>9781281744005</v>
      </c>
      <c r="E352" t="s">
        <v>1942</v>
      </c>
      <c r="F352" t="s">
        <v>1943</v>
      </c>
      <c r="G352" s="1">
        <v>38718</v>
      </c>
      <c r="H352" s="1">
        <v>1</v>
      </c>
      <c r="I352" t="s">
        <v>43</v>
      </c>
      <c r="J352" t="s">
        <v>2000</v>
      </c>
      <c r="L352" t="s">
        <v>2001</v>
      </c>
      <c r="M352" t="s">
        <v>91</v>
      </c>
      <c r="N352" t="s">
        <v>2002</v>
      </c>
      <c r="O352">
        <v>975.6</v>
      </c>
      <c r="Q352" t="s">
        <v>48</v>
      </c>
      <c r="R352" t="s">
        <v>50</v>
      </c>
      <c r="S352" t="s">
        <v>50</v>
      </c>
      <c r="T352" t="s">
        <v>50</v>
      </c>
      <c r="U352" t="s">
        <v>50</v>
      </c>
      <c r="V352" t="s">
        <v>50</v>
      </c>
      <c r="W352" t="s">
        <v>50</v>
      </c>
      <c r="X352" t="s">
        <v>50</v>
      </c>
      <c r="Y352" t="s">
        <v>50</v>
      </c>
      <c r="AD352" t="s">
        <v>50</v>
      </c>
      <c r="AF352">
        <v>174400</v>
      </c>
      <c r="AH352" t="s">
        <v>50</v>
      </c>
      <c r="AI352" t="s">
        <v>50</v>
      </c>
      <c r="AJ352" t="s">
        <v>51</v>
      </c>
      <c r="AK352" t="s">
        <v>50</v>
      </c>
      <c r="AM352" t="s">
        <v>49</v>
      </c>
      <c r="AN352" t="s">
        <v>2003</v>
      </c>
    </row>
    <row r="353" spans="1:40" x14ac:dyDescent="0.2">
      <c r="A353">
        <v>5080027</v>
      </c>
      <c r="B353" t="s">
        <v>2004</v>
      </c>
      <c r="C353" t="str">
        <f>"9781887905961"</f>
        <v>9781887905961</v>
      </c>
      <c r="D353" t="str">
        <f>"9781281751614"</f>
        <v>9781281751614</v>
      </c>
      <c r="E353" t="s">
        <v>1942</v>
      </c>
      <c r="F353" t="s">
        <v>1943</v>
      </c>
      <c r="G353" s="1">
        <v>38717</v>
      </c>
      <c r="H353" s="1">
        <v>1</v>
      </c>
      <c r="I353" t="s">
        <v>43</v>
      </c>
      <c r="L353" t="s">
        <v>2005</v>
      </c>
      <c r="M353" t="s">
        <v>2006</v>
      </c>
      <c r="O353">
        <v>578.09756800000002</v>
      </c>
      <c r="Q353" t="s">
        <v>48</v>
      </c>
      <c r="R353" t="s">
        <v>50</v>
      </c>
      <c r="S353" t="s">
        <v>50</v>
      </c>
      <c r="T353" t="s">
        <v>50</v>
      </c>
      <c r="U353" t="s">
        <v>50</v>
      </c>
      <c r="V353" t="s">
        <v>50</v>
      </c>
      <c r="W353" t="s">
        <v>50</v>
      </c>
      <c r="X353" t="s">
        <v>50</v>
      </c>
      <c r="Y353" t="s">
        <v>50</v>
      </c>
      <c r="AD353" t="s">
        <v>50</v>
      </c>
      <c r="AF353">
        <v>175161</v>
      </c>
      <c r="AH353" t="s">
        <v>50</v>
      </c>
      <c r="AI353" t="s">
        <v>50</v>
      </c>
      <c r="AJ353" t="s">
        <v>51</v>
      </c>
      <c r="AK353" t="s">
        <v>50</v>
      </c>
      <c r="AM353" t="s">
        <v>49</v>
      </c>
      <c r="AN353" t="s">
        <v>2007</v>
      </c>
    </row>
    <row r="354" spans="1:40" x14ac:dyDescent="0.2">
      <c r="A354">
        <v>5080360</v>
      </c>
      <c r="B354" t="s">
        <v>2008</v>
      </c>
      <c r="C354" t="str">
        <f>"9781933251158"</f>
        <v>9781933251158</v>
      </c>
      <c r="D354" t="str">
        <f>"9781280965906"</f>
        <v>9781280965906</v>
      </c>
      <c r="E354" t="s">
        <v>1942</v>
      </c>
      <c r="F354" t="s">
        <v>1943</v>
      </c>
      <c r="G354" s="1">
        <v>38353</v>
      </c>
      <c r="H354" s="1">
        <v>1</v>
      </c>
      <c r="I354" t="s">
        <v>43</v>
      </c>
      <c r="L354" t="s">
        <v>2009</v>
      </c>
      <c r="M354" t="s">
        <v>386</v>
      </c>
      <c r="N354" t="s">
        <v>2010</v>
      </c>
      <c r="O354">
        <v>305.26</v>
      </c>
      <c r="Q354" t="s">
        <v>48</v>
      </c>
      <c r="R354" t="s">
        <v>50</v>
      </c>
      <c r="S354" t="s">
        <v>50</v>
      </c>
      <c r="T354" t="s">
        <v>50</v>
      </c>
      <c r="U354" t="s">
        <v>50</v>
      </c>
      <c r="V354" t="s">
        <v>50</v>
      </c>
      <c r="W354" t="s">
        <v>50</v>
      </c>
      <c r="X354" t="s">
        <v>50</v>
      </c>
      <c r="Y354" t="s">
        <v>50</v>
      </c>
      <c r="AD354" t="s">
        <v>50</v>
      </c>
      <c r="AF354">
        <v>96590</v>
      </c>
      <c r="AH354" t="s">
        <v>50</v>
      </c>
      <c r="AI354" t="s">
        <v>50</v>
      </c>
      <c r="AJ354" t="s">
        <v>51</v>
      </c>
      <c r="AK354" t="s">
        <v>50</v>
      </c>
      <c r="AM354" t="s">
        <v>49</v>
      </c>
      <c r="AN354" t="s">
        <v>2011</v>
      </c>
    </row>
    <row r="355" spans="1:40" x14ac:dyDescent="0.2">
      <c r="A355">
        <v>5080787</v>
      </c>
      <c r="B355" t="s">
        <v>2012</v>
      </c>
      <c r="C355" t="str">
        <f>"9781887905572"</f>
        <v>9781887905572</v>
      </c>
      <c r="D355" t="str">
        <f>"9781281751669"</f>
        <v>9781281751669</v>
      </c>
      <c r="E355" t="s">
        <v>1942</v>
      </c>
      <c r="F355" t="s">
        <v>1943</v>
      </c>
      <c r="G355" s="1">
        <v>37257</v>
      </c>
      <c r="H355" s="1">
        <v>1</v>
      </c>
      <c r="I355" t="s">
        <v>43</v>
      </c>
      <c r="L355" t="s">
        <v>2013</v>
      </c>
      <c r="M355" t="s">
        <v>1949</v>
      </c>
      <c r="N355" t="s">
        <v>2014</v>
      </c>
      <c r="O355">
        <v>332.10948500000001</v>
      </c>
      <c r="Q355" t="s">
        <v>48</v>
      </c>
      <c r="R355" t="s">
        <v>50</v>
      </c>
      <c r="S355" t="s">
        <v>50</v>
      </c>
      <c r="T355" t="s">
        <v>50</v>
      </c>
      <c r="U355" t="s">
        <v>50</v>
      </c>
      <c r="V355" t="s">
        <v>50</v>
      </c>
      <c r="W355" t="s">
        <v>50</v>
      </c>
      <c r="X355" t="s">
        <v>50</v>
      </c>
      <c r="Y355" t="s">
        <v>50</v>
      </c>
      <c r="AD355" t="s">
        <v>50</v>
      </c>
      <c r="AF355">
        <v>175166</v>
      </c>
      <c r="AH355" t="s">
        <v>50</v>
      </c>
      <c r="AI355" t="s">
        <v>50</v>
      </c>
      <c r="AJ355" t="s">
        <v>51</v>
      </c>
      <c r="AK355" t="s">
        <v>50</v>
      </c>
      <c r="AM355" t="s">
        <v>49</v>
      </c>
      <c r="AN355" t="s">
        <v>2015</v>
      </c>
    </row>
    <row r="356" spans="1:40" x14ac:dyDescent="0.2">
      <c r="A356">
        <v>5080814</v>
      </c>
      <c r="B356" t="s">
        <v>2016</v>
      </c>
      <c r="C356" t="str">
        <f>"9781887905176"</f>
        <v>9781887905176</v>
      </c>
      <c r="D356" t="str">
        <f>"9781281751553"</f>
        <v>9781281751553</v>
      </c>
      <c r="E356" t="s">
        <v>1942</v>
      </c>
      <c r="F356" t="s">
        <v>1943</v>
      </c>
      <c r="G356" s="1">
        <v>36161</v>
      </c>
      <c r="H356" s="1">
        <v>1</v>
      </c>
      <c r="I356" t="s">
        <v>43</v>
      </c>
      <c r="L356" t="s">
        <v>2017</v>
      </c>
      <c r="M356" t="s">
        <v>1949</v>
      </c>
      <c r="N356" t="s">
        <v>2018</v>
      </c>
      <c r="O356">
        <v>332.10939999999999</v>
      </c>
      <c r="Q356" t="s">
        <v>48</v>
      </c>
      <c r="R356" t="s">
        <v>50</v>
      </c>
      <c r="S356" t="s">
        <v>50</v>
      </c>
      <c r="T356" t="s">
        <v>50</v>
      </c>
      <c r="U356" t="s">
        <v>50</v>
      </c>
      <c r="V356" t="s">
        <v>50</v>
      </c>
      <c r="W356" t="s">
        <v>50</v>
      </c>
      <c r="X356" t="s">
        <v>50</v>
      </c>
      <c r="Y356" t="s">
        <v>50</v>
      </c>
      <c r="AD356" t="s">
        <v>50</v>
      </c>
      <c r="AF356">
        <v>175155</v>
      </c>
      <c r="AH356" t="s">
        <v>50</v>
      </c>
      <c r="AI356" t="s">
        <v>50</v>
      </c>
      <c r="AJ356" t="s">
        <v>51</v>
      </c>
      <c r="AK356" t="s">
        <v>50</v>
      </c>
      <c r="AM356" t="s">
        <v>49</v>
      </c>
      <c r="AN356" t="s">
        <v>2019</v>
      </c>
    </row>
    <row r="357" spans="1:40" x14ac:dyDescent="0.2">
      <c r="A357">
        <v>5088893</v>
      </c>
      <c r="B357" t="s">
        <v>2020</v>
      </c>
      <c r="C357" t="str">
        <f>"9789041125392"</f>
        <v>9789041125392</v>
      </c>
      <c r="D357" t="str">
        <f>"9789041130389"</f>
        <v>9789041130389</v>
      </c>
      <c r="E357" t="s">
        <v>2021</v>
      </c>
      <c r="F357" t="s">
        <v>2021</v>
      </c>
      <c r="G357" s="1">
        <v>39417</v>
      </c>
      <c r="H357" s="1">
        <v>43025</v>
      </c>
      <c r="I357" t="s">
        <v>43</v>
      </c>
      <c r="J357">
        <v>3</v>
      </c>
      <c r="L357" t="s">
        <v>2022</v>
      </c>
      <c r="M357" t="s">
        <v>2023</v>
      </c>
      <c r="N357" t="s">
        <v>2024</v>
      </c>
      <c r="O357">
        <v>340.03</v>
      </c>
      <c r="Q357" t="s">
        <v>48</v>
      </c>
      <c r="R357" t="s">
        <v>50</v>
      </c>
      <c r="S357" t="s">
        <v>50</v>
      </c>
      <c r="T357" t="s">
        <v>50</v>
      </c>
      <c r="U357" t="s">
        <v>50</v>
      </c>
      <c r="V357" t="s">
        <v>50</v>
      </c>
      <c r="W357" t="s">
        <v>50</v>
      </c>
      <c r="X357" t="s">
        <v>50</v>
      </c>
      <c r="Y357" t="s">
        <v>50</v>
      </c>
      <c r="AB357">
        <v>0</v>
      </c>
      <c r="AD357" t="s">
        <v>50</v>
      </c>
      <c r="AF357">
        <v>225048</v>
      </c>
      <c r="AH357" t="s">
        <v>50</v>
      </c>
      <c r="AI357" t="s">
        <v>50</v>
      </c>
      <c r="AJ357" t="s">
        <v>51</v>
      </c>
      <c r="AK357" t="s">
        <v>50</v>
      </c>
      <c r="AM357" t="s">
        <v>49</v>
      </c>
      <c r="AN357" t="s">
        <v>2025</v>
      </c>
    </row>
    <row r="358" spans="1:40" x14ac:dyDescent="0.2">
      <c r="A358">
        <v>5120603</v>
      </c>
      <c r="B358" t="s">
        <v>2026</v>
      </c>
      <c r="C358" t="str">
        <f>"9780631220923"</f>
        <v>9780631220923</v>
      </c>
      <c r="D358" t="str">
        <f>"9781405128766"</f>
        <v>9781405128766</v>
      </c>
      <c r="E358" t="s">
        <v>2027</v>
      </c>
      <c r="F358" t="s">
        <v>421</v>
      </c>
      <c r="G358" s="1">
        <v>38322</v>
      </c>
      <c r="H358" s="1">
        <v>1</v>
      </c>
      <c r="I358" t="s">
        <v>43</v>
      </c>
      <c r="K358" t="s">
        <v>2028</v>
      </c>
      <c r="L358" t="s">
        <v>2029</v>
      </c>
      <c r="M358" t="s">
        <v>234</v>
      </c>
      <c r="N358" t="s">
        <v>2030</v>
      </c>
      <c r="O358">
        <v>364</v>
      </c>
      <c r="Q358" t="s">
        <v>48</v>
      </c>
      <c r="R358" t="s">
        <v>50</v>
      </c>
      <c r="S358" t="s">
        <v>50</v>
      </c>
      <c r="T358" t="s">
        <v>50</v>
      </c>
      <c r="U358" t="s">
        <v>49</v>
      </c>
      <c r="V358" t="s">
        <v>49</v>
      </c>
      <c r="W358" t="s">
        <v>50</v>
      </c>
      <c r="X358" t="s">
        <v>49</v>
      </c>
      <c r="Y358" t="s">
        <v>50</v>
      </c>
      <c r="Z358">
        <v>0</v>
      </c>
      <c r="AA358">
        <v>0</v>
      </c>
      <c r="AB358">
        <v>0</v>
      </c>
      <c r="AD358" t="s">
        <v>50</v>
      </c>
      <c r="AF358">
        <v>28452</v>
      </c>
      <c r="AH358" t="s">
        <v>50</v>
      </c>
      <c r="AI358" t="s">
        <v>50</v>
      </c>
      <c r="AJ358" t="s">
        <v>51</v>
      </c>
      <c r="AK358" t="s">
        <v>50</v>
      </c>
      <c r="AM358" t="s">
        <v>49</v>
      </c>
      <c r="AN358" t="s">
        <v>2031</v>
      </c>
    </row>
    <row r="359" spans="1:40" x14ac:dyDescent="0.2">
      <c r="A359">
        <v>5120769</v>
      </c>
      <c r="B359" t="s">
        <v>2032</v>
      </c>
      <c r="C359" t="str">
        <f>""</f>
        <v/>
      </c>
      <c r="D359" t="str">
        <f>"9781281732521"</f>
        <v>9781281732521</v>
      </c>
      <c r="E359" t="s">
        <v>2033</v>
      </c>
      <c r="F359" t="s">
        <v>2034</v>
      </c>
      <c r="G359" s="1">
        <v>39745</v>
      </c>
      <c r="H359" s="1">
        <v>1</v>
      </c>
      <c r="I359" t="s">
        <v>43</v>
      </c>
      <c r="J359">
        <v>1</v>
      </c>
      <c r="L359" t="s">
        <v>2035</v>
      </c>
      <c r="M359" t="s">
        <v>682</v>
      </c>
      <c r="O359">
        <v>616.85889999999995</v>
      </c>
      <c r="Q359" t="s">
        <v>48</v>
      </c>
      <c r="R359" t="s">
        <v>50</v>
      </c>
      <c r="S359" t="s">
        <v>50</v>
      </c>
      <c r="T359" t="s">
        <v>50</v>
      </c>
      <c r="U359" t="s">
        <v>49</v>
      </c>
      <c r="V359" t="s">
        <v>49</v>
      </c>
      <c r="W359" t="s">
        <v>50</v>
      </c>
      <c r="X359" t="s">
        <v>49</v>
      </c>
      <c r="Y359" t="s">
        <v>50</v>
      </c>
      <c r="Z359">
        <v>0</v>
      </c>
      <c r="AA359">
        <v>0</v>
      </c>
      <c r="AB359">
        <v>0</v>
      </c>
      <c r="AD359" t="s">
        <v>50</v>
      </c>
      <c r="AF359">
        <v>173252</v>
      </c>
      <c r="AH359" t="s">
        <v>50</v>
      </c>
      <c r="AI359" t="s">
        <v>50</v>
      </c>
      <c r="AJ359" t="s">
        <v>51</v>
      </c>
      <c r="AK359" t="s">
        <v>50</v>
      </c>
      <c r="AM359" t="s">
        <v>49</v>
      </c>
      <c r="AN359" t="s">
        <v>2036</v>
      </c>
    </row>
    <row r="360" spans="1:40" x14ac:dyDescent="0.2">
      <c r="A360">
        <v>5120952</v>
      </c>
      <c r="B360" t="s">
        <v>2037</v>
      </c>
      <c r="C360" t="str">
        <f>""</f>
        <v/>
      </c>
      <c r="D360" t="str">
        <f>"9781281221766"</f>
        <v>9781281221766</v>
      </c>
      <c r="E360" t="s">
        <v>2033</v>
      </c>
      <c r="F360" t="s">
        <v>2034</v>
      </c>
      <c r="G360" s="1">
        <v>39570</v>
      </c>
      <c r="H360" s="1">
        <v>1</v>
      </c>
      <c r="I360" t="s">
        <v>43</v>
      </c>
      <c r="J360">
        <v>1</v>
      </c>
      <c r="L360" t="s">
        <v>2038</v>
      </c>
      <c r="M360" t="s">
        <v>682</v>
      </c>
      <c r="O360">
        <v>616.83109999999999</v>
      </c>
      <c r="Q360" t="s">
        <v>48</v>
      </c>
      <c r="R360" t="s">
        <v>50</v>
      </c>
      <c r="S360" t="s">
        <v>50</v>
      </c>
      <c r="T360" t="s">
        <v>50</v>
      </c>
      <c r="U360" t="s">
        <v>49</v>
      </c>
      <c r="V360" t="s">
        <v>49</v>
      </c>
      <c r="W360" t="s">
        <v>50</v>
      </c>
      <c r="X360" t="s">
        <v>49</v>
      </c>
      <c r="Y360" t="s">
        <v>50</v>
      </c>
      <c r="Z360">
        <v>0</v>
      </c>
      <c r="AA360">
        <v>0</v>
      </c>
      <c r="AB360">
        <v>0</v>
      </c>
      <c r="AD360" t="s">
        <v>50</v>
      </c>
      <c r="AF360">
        <v>122176</v>
      </c>
      <c r="AH360" t="s">
        <v>50</v>
      </c>
      <c r="AI360" t="s">
        <v>50</v>
      </c>
      <c r="AJ360" t="s">
        <v>51</v>
      </c>
      <c r="AK360" t="s">
        <v>50</v>
      </c>
      <c r="AM360" t="s">
        <v>49</v>
      </c>
      <c r="AN360" t="s">
        <v>2039</v>
      </c>
    </row>
    <row r="361" spans="1:40" x14ac:dyDescent="0.2">
      <c r="A361">
        <v>5120973</v>
      </c>
      <c r="B361" t="s">
        <v>2040</v>
      </c>
      <c r="C361" t="str">
        <f>""</f>
        <v/>
      </c>
      <c r="D361" t="str">
        <f>"9781280822681"</f>
        <v>9781280822681</v>
      </c>
      <c r="E361" t="s">
        <v>2033</v>
      </c>
      <c r="F361" t="s">
        <v>2034</v>
      </c>
      <c r="G361" s="1">
        <v>39258</v>
      </c>
      <c r="H361" s="1">
        <v>1</v>
      </c>
      <c r="I361" t="s">
        <v>43</v>
      </c>
      <c r="J361">
        <v>1</v>
      </c>
      <c r="L361" t="s">
        <v>2041</v>
      </c>
      <c r="M361" t="s">
        <v>171</v>
      </c>
      <c r="O361">
        <v>746.44</v>
      </c>
      <c r="Q361" t="s">
        <v>48</v>
      </c>
      <c r="R361" t="s">
        <v>50</v>
      </c>
      <c r="S361" t="s">
        <v>50</v>
      </c>
      <c r="T361" t="s">
        <v>50</v>
      </c>
      <c r="U361" t="s">
        <v>49</v>
      </c>
      <c r="V361" t="s">
        <v>49</v>
      </c>
      <c r="W361" t="s">
        <v>50</v>
      </c>
      <c r="X361" t="s">
        <v>49</v>
      </c>
      <c r="Y361" t="s">
        <v>50</v>
      </c>
      <c r="Z361">
        <v>0</v>
      </c>
      <c r="AA361">
        <v>0</v>
      </c>
      <c r="AB361">
        <v>0</v>
      </c>
      <c r="AD361" t="s">
        <v>50</v>
      </c>
      <c r="AF361">
        <v>82268</v>
      </c>
      <c r="AH361" t="s">
        <v>50</v>
      </c>
      <c r="AI361" t="s">
        <v>50</v>
      </c>
      <c r="AJ361" t="s">
        <v>51</v>
      </c>
      <c r="AK361" t="s">
        <v>50</v>
      </c>
      <c r="AM361" t="s">
        <v>49</v>
      </c>
      <c r="AN361" t="s">
        <v>2042</v>
      </c>
    </row>
    <row r="362" spans="1:40" x14ac:dyDescent="0.2">
      <c r="A362">
        <v>5120999</v>
      </c>
      <c r="B362" t="s">
        <v>2043</v>
      </c>
      <c r="C362" t="str">
        <f>""</f>
        <v/>
      </c>
      <c r="D362" t="str">
        <f>"9781280275845"</f>
        <v>9781280275845</v>
      </c>
      <c r="E362" t="s">
        <v>2033</v>
      </c>
      <c r="F362" t="s">
        <v>2034</v>
      </c>
      <c r="G362" s="1">
        <v>38517</v>
      </c>
      <c r="H362" s="1">
        <v>1</v>
      </c>
      <c r="I362" t="s">
        <v>43</v>
      </c>
      <c r="J362">
        <v>1</v>
      </c>
      <c r="L362" t="s">
        <v>2044</v>
      </c>
      <c r="M362" t="s">
        <v>45</v>
      </c>
      <c r="O362">
        <v>491.782421</v>
      </c>
      <c r="Q362" t="s">
        <v>48</v>
      </c>
      <c r="R362" t="s">
        <v>50</v>
      </c>
      <c r="S362" t="s">
        <v>50</v>
      </c>
      <c r="T362" t="s">
        <v>50</v>
      </c>
      <c r="U362" t="s">
        <v>49</v>
      </c>
      <c r="V362" t="s">
        <v>49</v>
      </c>
      <c r="W362" t="s">
        <v>50</v>
      </c>
      <c r="X362" t="s">
        <v>49</v>
      </c>
      <c r="Y362" t="s">
        <v>50</v>
      </c>
      <c r="Z362">
        <v>0</v>
      </c>
      <c r="AA362">
        <v>0</v>
      </c>
      <c r="AB362">
        <v>0</v>
      </c>
      <c r="AD362" t="s">
        <v>50</v>
      </c>
      <c r="AF362">
        <v>27584</v>
      </c>
      <c r="AH362" t="s">
        <v>50</v>
      </c>
      <c r="AI362" t="s">
        <v>50</v>
      </c>
      <c r="AJ362" t="s">
        <v>51</v>
      </c>
      <c r="AK362" t="s">
        <v>50</v>
      </c>
      <c r="AM362" t="s">
        <v>49</v>
      </c>
      <c r="AN362" t="s">
        <v>2045</v>
      </c>
    </row>
    <row r="363" spans="1:40" x14ac:dyDescent="0.2">
      <c r="A363">
        <v>5139473</v>
      </c>
      <c r="B363" t="s">
        <v>2046</v>
      </c>
      <c r="C363" t="str">
        <f>""</f>
        <v/>
      </c>
      <c r="D363" t="str">
        <f>"9781281552822"</f>
        <v>9781281552822</v>
      </c>
      <c r="E363" t="s">
        <v>2047</v>
      </c>
      <c r="F363" t="s">
        <v>2047</v>
      </c>
      <c r="G363" s="1">
        <v>39307</v>
      </c>
      <c r="H363" s="1">
        <v>1</v>
      </c>
      <c r="I363" t="s">
        <v>43</v>
      </c>
      <c r="J363">
        <v>8</v>
      </c>
      <c r="L363" t="s">
        <v>2048</v>
      </c>
      <c r="M363" t="s">
        <v>872</v>
      </c>
      <c r="O363">
        <v>371.2</v>
      </c>
      <c r="Q363" t="s">
        <v>48</v>
      </c>
      <c r="R363" t="s">
        <v>50</v>
      </c>
      <c r="S363" t="s">
        <v>50</v>
      </c>
      <c r="T363" t="s">
        <v>50</v>
      </c>
      <c r="U363" t="s">
        <v>50</v>
      </c>
      <c r="V363" t="s">
        <v>49</v>
      </c>
      <c r="W363" t="s">
        <v>50</v>
      </c>
      <c r="X363" t="s">
        <v>50</v>
      </c>
      <c r="Y363" t="s">
        <v>50</v>
      </c>
      <c r="AB363">
        <v>0</v>
      </c>
      <c r="AD363" t="s">
        <v>50</v>
      </c>
      <c r="AF363">
        <v>155282</v>
      </c>
      <c r="AH363" t="s">
        <v>50</v>
      </c>
      <c r="AI363" t="s">
        <v>50</v>
      </c>
      <c r="AJ363" t="s">
        <v>51</v>
      </c>
      <c r="AK363" t="s">
        <v>50</v>
      </c>
      <c r="AM363" t="s">
        <v>49</v>
      </c>
      <c r="AN363" t="s">
        <v>2049</v>
      </c>
    </row>
    <row r="364" spans="1:40" x14ac:dyDescent="0.2">
      <c r="A364">
        <v>5139577</v>
      </c>
      <c r="B364" t="s">
        <v>2050</v>
      </c>
      <c r="C364" t="str">
        <f>"9780273715580"</f>
        <v>9780273715580</v>
      </c>
      <c r="D364" t="str">
        <f>"9780273729709"</f>
        <v>9780273729709</v>
      </c>
      <c r="E364" t="s">
        <v>2047</v>
      </c>
      <c r="F364" t="s">
        <v>2047</v>
      </c>
      <c r="G364" s="1">
        <v>39722</v>
      </c>
      <c r="H364" s="1">
        <v>1</v>
      </c>
      <c r="I364" t="s">
        <v>43</v>
      </c>
      <c r="L364" t="s">
        <v>2051</v>
      </c>
      <c r="M364" t="s">
        <v>58</v>
      </c>
      <c r="N364" t="s">
        <v>2052</v>
      </c>
      <c r="O364">
        <v>658.404</v>
      </c>
      <c r="P364" t="s">
        <v>2053</v>
      </c>
      <c r="Q364" t="s">
        <v>48</v>
      </c>
      <c r="R364" t="s">
        <v>50</v>
      </c>
      <c r="S364" t="s">
        <v>50</v>
      </c>
      <c r="T364" t="s">
        <v>50</v>
      </c>
      <c r="U364" t="s">
        <v>50</v>
      </c>
      <c r="V364" t="s">
        <v>49</v>
      </c>
      <c r="W364" t="s">
        <v>50</v>
      </c>
      <c r="X364" t="s">
        <v>50</v>
      </c>
      <c r="Y364" t="s">
        <v>50</v>
      </c>
      <c r="AB364">
        <v>0</v>
      </c>
      <c r="AD364" t="s">
        <v>50</v>
      </c>
      <c r="AF364">
        <v>211890</v>
      </c>
      <c r="AH364" t="s">
        <v>50</v>
      </c>
      <c r="AI364" t="s">
        <v>50</v>
      </c>
      <c r="AJ364" t="s">
        <v>51</v>
      </c>
      <c r="AK364" t="s">
        <v>50</v>
      </c>
      <c r="AM364" t="s">
        <v>49</v>
      </c>
      <c r="AN364" t="s">
        <v>2054</v>
      </c>
    </row>
    <row r="365" spans="1:40" x14ac:dyDescent="0.2">
      <c r="A365">
        <v>5139863</v>
      </c>
      <c r="B365" t="s">
        <v>2055</v>
      </c>
      <c r="C365" t="str">
        <f>""</f>
        <v/>
      </c>
      <c r="D365" t="str">
        <f>"9781281973627"</f>
        <v>9781281973627</v>
      </c>
      <c r="E365" t="s">
        <v>2056</v>
      </c>
      <c r="F365" t="s">
        <v>2057</v>
      </c>
      <c r="G365" s="1">
        <v>39872</v>
      </c>
      <c r="H365" s="1">
        <v>1</v>
      </c>
      <c r="I365" t="s">
        <v>43</v>
      </c>
      <c r="L365" t="s">
        <v>2058</v>
      </c>
      <c r="M365" t="s">
        <v>58</v>
      </c>
      <c r="O365">
        <v>658.404</v>
      </c>
      <c r="Q365" t="s">
        <v>48</v>
      </c>
      <c r="R365" t="s">
        <v>50</v>
      </c>
      <c r="S365" t="s">
        <v>50</v>
      </c>
      <c r="T365" t="s">
        <v>50</v>
      </c>
      <c r="U365" t="s">
        <v>50</v>
      </c>
      <c r="V365" t="s">
        <v>49</v>
      </c>
      <c r="W365" t="s">
        <v>50</v>
      </c>
      <c r="X365" t="s">
        <v>50</v>
      </c>
      <c r="Y365" t="s">
        <v>50</v>
      </c>
      <c r="AB365">
        <v>0</v>
      </c>
      <c r="AD365" t="s">
        <v>50</v>
      </c>
      <c r="AF365">
        <v>197362</v>
      </c>
      <c r="AH365" t="s">
        <v>50</v>
      </c>
      <c r="AI365" t="s">
        <v>50</v>
      </c>
      <c r="AJ365" t="s">
        <v>51</v>
      </c>
      <c r="AK365" t="s">
        <v>50</v>
      </c>
      <c r="AM365" t="s">
        <v>49</v>
      </c>
      <c r="AN365" t="s">
        <v>2059</v>
      </c>
    </row>
    <row r="366" spans="1:40" x14ac:dyDescent="0.2">
      <c r="A366">
        <v>5140101</v>
      </c>
      <c r="B366" t="s">
        <v>2060</v>
      </c>
      <c r="C366" t="str">
        <f>"9781404214439"</f>
        <v>9781404214439</v>
      </c>
      <c r="D366" t="str">
        <f>"9781435847392"</f>
        <v>9781435847392</v>
      </c>
      <c r="E366" t="s">
        <v>2061</v>
      </c>
      <c r="F366" t="s">
        <v>2062</v>
      </c>
      <c r="G366" s="1">
        <v>39462</v>
      </c>
      <c r="H366" s="1">
        <v>43244</v>
      </c>
      <c r="I366" t="s">
        <v>43</v>
      </c>
      <c r="K366" t="s">
        <v>2063</v>
      </c>
      <c r="L366" t="s">
        <v>2064</v>
      </c>
      <c r="M366" t="s">
        <v>234</v>
      </c>
      <c r="N366" t="s">
        <v>2065</v>
      </c>
      <c r="O366">
        <v>363.25200000000001</v>
      </c>
      <c r="P366" t="s">
        <v>2066</v>
      </c>
      <c r="Q366" t="s">
        <v>48</v>
      </c>
      <c r="R366" t="s">
        <v>49</v>
      </c>
      <c r="S366" t="s">
        <v>50</v>
      </c>
      <c r="T366" t="s">
        <v>50</v>
      </c>
      <c r="U366" t="s">
        <v>49</v>
      </c>
      <c r="V366" t="s">
        <v>49</v>
      </c>
      <c r="W366" t="s">
        <v>50</v>
      </c>
      <c r="X366" t="s">
        <v>49</v>
      </c>
      <c r="Y366" t="s">
        <v>50</v>
      </c>
      <c r="Z366">
        <v>35.450000000000003</v>
      </c>
      <c r="AA366">
        <v>44.31</v>
      </c>
      <c r="AB366">
        <v>35.450000000000003</v>
      </c>
      <c r="AC366">
        <v>53.18</v>
      </c>
      <c r="AD366" t="s">
        <v>49</v>
      </c>
      <c r="AE366">
        <v>11561288</v>
      </c>
      <c r="AF366">
        <v>220766</v>
      </c>
      <c r="AH366" t="s">
        <v>50</v>
      </c>
      <c r="AI366" t="s">
        <v>50</v>
      </c>
      <c r="AJ366" t="s">
        <v>51</v>
      </c>
      <c r="AK366" t="s">
        <v>50</v>
      </c>
      <c r="AM366" t="s">
        <v>49</v>
      </c>
      <c r="AN366" t="s">
        <v>2067</v>
      </c>
    </row>
    <row r="367" spans="1:40" x14ac:dyDescent="0.2">
      <c r="A367">
        <v>5247873</v>
      </c>
      <c r="B367" t="s">
        <v>2068</v>
      </c>
      <c r="C367" t="str">
        <f>"9781405121309"</f>
        <v>9781405121309</v>
      </c>
      <c r="D367" t="str">
        <f>"9781405138307"</f>
        <v>9781405138307</v>
      </c>
      <c r="E367" t="s">
        <v>421</v>
      </c>
      <c r="F367" t="s">
        <v>192</v>
      </c>
      <c r="G367" s="1">
        <v>39553</v>
      </c>
      <c r="H367" s="1">
        <v>1</v>
      </c>
      <c r="I367" t="s">
        <v>43</v>
      </c>
      <c r="J367">
        <v>1</v>
      </c>
      <c r="L367" t="s">
        <v>2069</v>
      </c>
      <c r="M367" t="s">
        <v>91</v>
      </c>
      <c r="O367">
        <v>975</v>
      </c>
      <c r="Q367" t="s">
        <v>48</v>
      </c>
      <c r="R367" t="s">
        <v>50</v>
      </c>
      <c r="S367" t="s">
        <v>50</v>
      </c>
      <c r="T367" t="s">
        <v>50</v>
      </c>
      <c r="U367" t="s">
        <v>49</v>
      </c>
      <c r="V367" t="s">
        <v>49</v>
      </c>
      <c r="W367" t="s">
        <v>50</v>
      </c>
      <c r="X367" t="s">
        <v>49</v>
      </c>
      <c r="Y367" t="s">
        <v>50</v>
      </c>
      <c r="Z367">
        <v>0</v>
      </c>
      <c r="AA367">
        <v>0</v>
      </c>
      <c r="AB367">
        <v>0</v>
      </c>
      <c r="AC367">
        <v>0</v>
      </c>
      <c r="AD367" t="s">
        <v>50</v>
      </c>
      <c r="AF367">
        <v>212406</v>
      </c>
      <c r="AH367" t="s">
        <v>50</v>
      </c>
      <c r="AI367" t="s">
        <v>50</v>
      </c>
      <c r="AJ367" t="s">
        <v>51</v>
      </c>
      <c r="AK367" t="s">
        <v>50</v>
      </c>
      <c r="AM367" t="s">
        <v>49</v>
      </c>
      <c r="AN367" t="s">
        <v>2070</v>
      </c>
    </row>
    <row r="368" spans="1:40" x14ac:dyDescent="0.2">
      <c r="A368">
        <v>5247876</v>
      </c>
      <c r="B368" t="s">
        <v>2071</v>
      </c>
      <c r="C368" t="str">
        <f>""</f>
        <v/>
      </c>
      <c r="D368" t="str">
        <f>"9781282186156"</f>
        <v>9781282186156</v>
      </c>
      <c r="E368" t="s">
        <v>421</v>
      </c>
      <c r="F368" t="s">
        <v>1861</v>
      </c>
      <c r="G368" s="1">
        <v>39988</v>
      </c>
      <c r="H368" s="1">
        <v>1</v>
      </c>
      <c r="I368" t="s">
        <v>43</v>
      </c>
      <c r="J368">
        <v>1</v>
      </c>
      <c r="L368" t="s">
        <v>2072</v>
      </c>
      <c r="M368" t="s">
        <v>1461</v>
      </c>
      <c r="O368">
        <v>820.99287089999996</v>
      </c>
      <c r="Q368" t="s">
        <v>48</v>
      </c>
      <c r="R368" t="s">
        <v>50</v>
      </c>
      <c r="S368" t="s">
        <v>50</v>
      </c>
      <c r="T368" t="s">
        <v>50</v>
      </c>
      <c r="U368" t="s">
        <v>49</v>
      </c>
      <c r="V368" t="s">
        <v>49</v>
      </c>
      <c r="W368" t="s">
        <v>50</v>
      </c>
      <c r="X368" t="s">
        <v>49</v>
      </c>
      <c r="Y368" t="s">
        <v>50</v>
      </c>
      <c r="Z368">
        <v>0</v>
      </c>
      <c r="AA368">
        <v>0</v>
      </c>
      <c r="AB368">
        <v>0</v>
      </c>
      <c r="AC368">
        <v>0</v>
      </c>
      <c r="AD368" t="s">
        <v>50</v>
      </c>
      <c r="AF368">
        <v>218615</v>
      </c>
      <c r="AH368" t="s">
        <v>50</v>
      </c>
      <c r="AI368" t="s">
        <v>50</v>
      </c>
      <c r="AJ368" t="s">
        <v>51</v>
      </c>
      <c r="AK368" t="s">
        <v>50</v>
      </c>
      <c r="AM368" t="s">
        <v>49</v>
      </c>
      <c r="AN368" t="s">
        <v>2073</v>
      </c>
    </row>
    <row r="369" spans="1:40" x14ac:dyDescent="0.2">
      <c r="A369">
        <v>5248003</v>
      </c>
      <c r="B369" t="s">
        <v>2074</v>
      </c>
      <c r="C369" t="str">
        <f>"9781587653247"</f>
        <v>9781587653247</v>
      </c>
      <c r="D369" t="str">
        <f>"9781587654459"</f>
        <v>9781587654459</v>
      </c>
      <c r="E369" t="s">
        <v>1435</v>
      </c>
      <c r="F369" t="s">
        <v>1435</v>
      </c>
      <c r="G369" s="1">
        <v>39156</v>
      </c>
      <c r="H369" s="1">
        <v>1</v>
      </c>
      <c r="I369" t="s">
        <v>43</v>
      </c>
      <c r="J369">
        <v>1</v>
      </c>
      <c r="L369" t="s">
        <v>2075</v>
      </c>
      <c r="M369" t="s">
        <v>234</v>
      </c>
      <c r="O369">
        <v>305.42096700000002</v>
      </c>
      <c r="Q369" t="s">
        <v>48</v>
      </c>
      <c r="R369" t="s">
        <v>50</v>
      </c>
      <c r="S369" t="s">
        <v>50</v>
      </c>
      <c r="T369" t="s">
        <v>50</v>
      </c>
      <c r="U369" t="s">
        <v>49</v>
      </c>
      <c r="V369" t="s">
        <v>49</v>
      </c>
      <c r="W369" t="s">
        <v>50</v>
      </c>
      <c r="X369" t="s">
        <v>50</v>
      </c>
      <c r="Y369" t="s">
        <v>50</v>
      </c>
      <c r="Z369">
        <v>0</v>
      </c>
      <c r="AA369">
        <v>0</v>
      </c>
      <c r="AB369">
        <v>0</v>
      </c>
      <c r="AC369">
        <v>0</v>
      </c>
      <c r="AD369" t="s">
        <v>50</v>
      </c>
      <c r="AF369">
        <v>121776</v>
      </c>
      <c r="AH369" t="s">
        <v>50</v>
      </c>
      <c r="AI369" t="s">
        <v>50</v>
      </c>
      <c r="AJ369" t="s">
        <v>51</v>
      </c>
      <c r="AK369" t="s">
        <v>50</v>
      </c>
      <c r="AM369" t="s">
        <v>49</v>
      </c>
      <c r="AN369" t="s">
        <v>2076</v>
      </c>
    </row>
    <row r="370" spans="1:40" x14ac:dyDescent="0.2">
      <c r="A370">
        <v>5248005</v>
      </c>
      <c r="B370" t="s">
        <v>2077</v>
      </c>
      <c r="C370" t="str">
        <f>"9780979775802"</f>
        <v>9780979775802</v>
      </c>
      <c r="D370" t="str">
        <f>"9780979775895"</f>
        <v>9780979775895</v>
      </c>
      <c r="E370" t="s">
        <v>1435</v>
      </c>
      <c r="F370" t="s">
        <v>1435</v>
      </c>
      <c r="G370" s="1">
        <v>39448</v>
      </c>
      <c r="H370" s="1">
        <v>43153</v>
      </c>
      <c r="I370" t="s">
        <v>43</v>
      </c>
      <c r="L370" t="s">
        <v>2078</v>
      </c>
      <c r="M370" t="s">
        <v>91</v>
      </c>
      <c r="O370">
        <v>973.92</v>
      </c>
      <c r="Q370" t="s">
        <v>48</v>
      </c>
      <c r="R370" t="s">
        <v>50</v>
      </c>
      <c r="S370" t="s">
        <v>50</v>
      </c>
      <c r="T370" t="s">
        <v>50</v>
      </c>
      <c r="U370" t="s">
        <v>49</v>
      </c>
      <c r="V370" t="s">
        <v>49</v>
      </c>
      <c r="W370" t="s">
        <v>50</v>
      </c>
      <c r="X370" t="s">
        <v>50</v>
      </c>
      <c r="Y370" t="s">
        <v>50</v>
      </c>
      <c r="Z370">
        <v>0</v>
      </c>
      <c r="AA370">
        <v>0</v>
      </c>
      <c r="AB370">
        <v>0</v>
      </c>
      <c r="AC370">
        <v>0</v>
      </c>
      <c r="AD370" t="s">
        <v>50</v>
      </c>
      <c r="AF370">
        <v>138251</v>
      </c>
      <c r="AH370" t="s">
        <v>50</v>
      </c>
      <c r="AI370" t="s">
        <v>50</v>
      </c>
      <c r="AJ370" t="s">
        <v>51</v>
      </c>
      <c r="AK370" t="s">
        <v>50</v>
      </c>
      <c r="AM370" t="s">
        <v>49</v>
      </c>
      <c r="AN370" t="s">
        <v>2079</v>
      </c>
    </row>
    <row r="371" spans="1:40" x14ac:dyDescent="0.2">
      <c r="A371">
        <v>5248006</v>
      </c>
      <c r="B371" t="s">
        <v>2080</v>
      </c>
      <c r="C371" t="str">
        <f>"9781587654190"</f>
        <v>9781587654190</v>
      </c>
      <c r="D371" t="str">
        <f>"9781587654480"</f>
        <v>9781587654480</v>
      </c>
      <c r="E371" t="s">
        <v>1435</v>
      </c>
      <c r="F371" t="s">
        <v>1435</v>
      </c>
      <c r="G371" s="1">
        <v>39448</v>
      </c>
      <c r="H371" s="1">
        <v>1</v>
      </c>
      <c r="I371" t="s">
        <v>43</v>
      </c>
      <c r="L371" t="s">
        <v>1534</v>
      </c>
      <c r="M371" t="s">
        <v>91</v>
      </c>
      <c r="O371">
        <v>973.92700300000001</v>
      </c>
      <c r="Q371" t="s">
        <v>48</v>
      </c>
      <c r="R371" t="s">
        <v>50</v>
      </c>
      <c r="S371" t="s">
        <v>50</v>
      </c>
      <c r="T371" t="s">
        <v>50</v>
      </c>
      <c r="U371" t="s">
        <v>49</v>
      </c>
      <c r="V371" t="s">
        <v>49</v>
      </c>
      <c r="W371" t="s">
        <v>50</v>
      </c>
      <c r="X371" t="s">
        <v>50</v>
      </c>
      <c r="Y371" t="s">
        <v>50</v>
      </c>
      <c r="Z371">
        <v>0</v>
      </c>
      <c r="AA371">
        <v>0</v>
      </c>
      <c r="AB371">
        <v>0</v>
      </c>
      <c r="AC371">
        <v>0</v>
      </c>
      <c r="AD371" t="s">
        <v>50</v>
      </c>
      <c r="AF371">
        <v>138252</v>
      </c>
      <c r="AH371" t="s">
        <v>50</v>
      </c>
      <c r="AI371" t="s">
        <v>50</v>
      </c>
      <c r="AJ371" t="s">
        <v>51</v>
      </c>
      <c r="AK371" t="s">
        <v>50</v>
      </c>
      <c r="AM371" t="s">
        <v>49</v>
      </c>
      <c r="AN371" t="s">
        <v>2081</v>
      </c>
    </row>
    <row r="372" spans="1:40" x14ac:dyDescent="0.2">
      <c r="A372">
        <v>5248007</v>
      </c>
      <c r="B372" t="s">
        <v>2082</v>
      </c>
      <c r="C372" t="str">
        <f>"9781587654237"</f>
        <v>9781587654237</v>
      </c>
      <c r="D372" t="str">
        <f>"9781587654503"</f>
        <v>9781587654503</v>
      </c>
      <c r="E372" t="s">
        <v>1435</v>
      </c>
      <c r="F372" t="s">
        <v>1435</v>
      </c>
      <c r="G372" s="1">
        <v>39738</v>
      </c>
      <c r="H372" s="1">
        <v>1</v>
      </c>
      <c r="I372" t="s">
        <v>43</v>
      </c>
      <c r="L372" t="s">
        <v>2083</v>
      </c>
      <c r="M372" t="s">
        <v>304</v>
      </c>
      <c r="O372">
        <v>729</v>
      </c>
      <c r="Q372" t="s">
        <v>48</v>
      </c>
      <c r="R372" t="s">
        <v>50</v>
      </c>
      <c r="S372" t="s">
        <v>50</v>
      </c>
      <c r="T372" t="s">
        <v>50</v>
      </c>
      <c r="U372" t="s">
        <v>49</v>
      </c>
      <c r="V372" t="s">
        <v>49</v>
      </c>
      <c r="W372" t="s">
        <v>50</v>
      </c>
      <c r="X372" t="s">
        <v>50</v>
      </c>
      <c r="Y372" t="s">
        <v>50</v>
      </c>
      <c r="Z372">
        <v>0</v>
      </c>
      <c r="AA372">
        <v>0</v>
      </c>
      <c r="AB372">
        <v>0</v>
      </c>
      <c r="AC372">
        <v>0</v>
      </c>
      <c r="AD372" t="s">
        <v>50</v>
      </c>
      <c r="AF372">
        <v>191602</v>
      </c>
      <c r="AH372" t="s">
        <v>50</v>
      </c>
      <c r="AI372" t="s">
        <v>50</v>
      </c>
      <c r="AJ372" t="s">
        <v>51</v>
      </c>
      <c r="AK372" t="s">
        <v>50</v>
      </c>
      <c r="AM372" t="s">
        <v>49</v>
      </c>
      <c r="AN372" t="s">
        <v>2084</v>
      </c>
    </row>
    <row r="373" spans="1:40" x14ac:dyDescent="0.2">
      <c r="A373">
        <v>5248008</v>
      </c>
      <c r="B373" t="s">
        <v>2085</v>
      </c>
      <c r="C373" t="str">
        <f>"9781587653452"</f>
        <v>9781587653452</v>
      </c>
      <c r="D373" t="str">
        <f>"9781587654527"</f>
        <v>9781587654527</v>
      </c>
      <c r="E373" t="s">
        <v>1435</v>
      </c>
      <c r="F373" t="s">
        <v>1435</v>
      </c>
      <c r="G373" s="1">
        <v>39710</v>
      </c>
      <c r="H373" s="1">
        <v>43153</v>
      </c>
      <c r="I373" t="s">
        <v>43</v>
      </c>
      <c r="L373" t="s">
        <v>2075</v>
      </c>
      <c r="M373" t="s">
        <v>234</v>
      </c>
      <c r="O373">
        <v>305.26</v>
      </c>
      <c r="Q373" t="s">
        <v>48</v>
      </c>
      <c r="R373" t="s">
        <v>50</v>
      </c>
      <c r="S373" t="s">
        <v>50</v>
      </c>
      <c r="T373" t="s">
        <v>50</v>
      </c>
      <c r="U373" t="s">
        <v>49</v>
      </c>
      <c r="V373" t="s">
        <v>49</v>
      </c>
      <c r="W373" t="s">
        <v>50</v>
      </c>
      <c r="X373" t="s">
        <v>50</v>
      </c>
      <c r="Y373" t="s">
        <v>50</v>
      </c>
      <c r="Z373">
        <v>0</v>
      </c>
      <c r="AA373">
        <v>0</v>
      </c>
      <c r="AB373">
        <v>0</v>
      </c>
      <c r="AC373">
        <v>0</v>
      </c>
      <c r="AD373" t="s">
        <v>50</v>
      </c>
      <c r="AF373">
        <v>191603</v>
      </c>
      <c r="AH373" t="s">
        <v>50</v>
      </c>
      <c r="AI373" t="s">
        <v>50</v>
      </c>
      <c r="AJ373" t="s">
        <v>51</v>
      </c>
      <c r="AK373" t="s">
        <v>50</v>
      </c>
      <c r="AM373" t="s">
        <v>49</v>
      </c>
      <c r="AN373" t="s">
        <v>2086</v>
      </c>
    </row>
    <row r="374" spans="1:40" x14ac:dyDescent="0.2">
      <c r="A374">
        <v>5250501</v>
      </c>
      <c r="B374" t="s">
        <v>2087</v>
      </c>
      <c r="C374" t="str">
        <f>"9781845283209"</f>
        <v>9781845283209</v>
      </c>
      <c r="D374" t="str">
        <f>"9781848032941"</f>
        <v>9781848032941</v>
      </c>
      <c r="E374" t="s">
        <v>2088</v>
      </c>
      <c r="F374" t="s">
        <v>2089</v>
      </c>
      <c r="G374" s="1">
        <v>39689</v>
      </c>
      <c r="H374" s="1">
        <v>1</v>
      </c>
      <c r="I374" t="s">
        <v>43</v>
      </c>
      <c r="L374" t="s">
        <v>2090</v>
      </c>
      <c r="M374" t="s">
        <v>234</v>
      </c>
      <c r="O374">
        <v>364.15109999999999</v>
      </c>
      <c r="Q374" t="s">
        <v>48</v>
      </c>
      <c r="R374" t="s">
        <v>50</v>
      </c>
      <c r="S374" t="s">
        <v>50</v>
      </c>
      <c r="T374" t="s">
        <v>50</v>
      </c>
      <c r="U374" t="s">
        <v>50</v>
      </c>
      <c r="V374" t="s">
        <v>50</v>
      </c>
      <c r="W374" t="s">
        <v>50</v>
      </c>
      <c r="X374" t="s">
        <v>50</v>
      </c>
      <c r="Y374" t="s">
        <v>50</v>
      </c>
      <c r="AB374">
        <v>0</v>
      </c>
      <c r="AD374" t="s">
        <v>50</v>
      </c>
      <c r="AF374">
        <v>180098</v>
      </c>
      <c r="AH374" t="s">
        <v>50</v>
      </c>
      <c r="AI374" t="s">
        <v>50</v>
      </c>
      <c r="AJ374" t="s">
        <v>51</v>
      </c>
      <c r="AK374" t="s">
        <v>50</v>
      </c>
      <c r="AM374" t="s">
        <v>49</v>
      </c>
      <c r="AN374" t="s">
        <v>2091</v>
      </c>
    </row>
    <row r="375" spans="1:40" x14ac:dyDescent="0.2">
      <c r="A375">
        <v>5268242</v>
      </c>
      <c r="B375" t="s">
        <v>2092</v>
      </c>
      <c r="C375" t="str">
        <f>""</f>
        <v/>
      </c>
      <c r="D375" t="str">
        <f>"9781282118690"</f>
        <v>9781282118690</v>
      </c>
      <c r="E375" t="s">
        <v>41</v>
      </c>
      <c r="F375" t="s">
        <v>302</v>
      </c>
      <c r="G375" s="1">
        <v>40553</v>
      </c>
      <c r="H375" s="1">
        <v>1</v>
      </c>
      <c r="I375" t="s">
        <v>43</v>
      </c>
      <c r="J375">
        <v>1</v>
      </c>
      <c r="L375" t="s">
        <v>2093</v>
      </c>
      <c r="M375" t="s">
        <v>379</v>
      </c>
      <c r="O375">
        <v>610.73</v>
      </c>
      <c r="Q375" t="s">
        <v>48</v>
      </c>
      <c r="R375" t="s">
        <v>50</v>
      </c>
      <c r="S375" t="s">
        <v>50</v>
      </c>
      <c r="T375" t="s">
        <v>50</v>
      </c>
      <c r="U375" t="s">
        <v>49</v>
      </c>
      <c r="V375" t="s">
        <v>49</v>
      </c>
      <c r="W375" t="s">
        <v>50</v>
      </c>
      <c r="X375" t="s">
        <v>49</v>
      </c>
      <c r="Y375" t="s">
        <v>50</v>
      </c>
      <c r="AA375">
        <v>0</v>
      </c>
      <c r="AB375">
        <v>0</v>
      </c>
      <c r="AD375" t="s">
        <v>50</v>
      </c>
      <c r="AF375">
        <v>211869</v>
      </c>
      <c r="AH375" t="s">
        <v>50</v>
      </c>
      <c r="AI375" t="s">
        <v>50</v>
      </c>
      <c r="AJ375" t="s">
        <v>51</v>
      </c>
      <c r="AK375" t="s">
        <v>50</v>
      </c>
      <c r="AM375" t="s">
        <v>49</v>
      </c>
      <c r="AN375" t="s">
        <v>2094</v>
      </c>
    </row>
    <row r="376" spans="1:40" x14ac:dyDescent="0.2">
      <c r="A376">
        <v>5268527</v>
      </c>
      <c r="B376" t="s">
        <v>2095</v>
      </c>
      <c r="C376" t="str">
        <f>""</f>
        <v/>
      </c>
      <c r="D376" t="str">
        <f>"9781281770875"</f>
        <v>9781281770875</v>
      </c>
      <c r="E376" t="s">
        <v>41</v>
      </c>
      <c r="F376" t="s">
        <v>302</v>
      </c>
      <c r="G376" s="1">
        <v>39118</v>
      </c>
      <c r="H376" s="1">
        <v>1</v>
      </c>
      <c r="I376" t="s">
        <v>43</v>
      </c>
      <c r="J376">
        <v>1</v>
      </c>
      <c r="L376" t="s">
        <v>2096</v>
      </c>
      <c r="M376" t="s">
        <v>416</v>
      </c>
      <c r="O376">
        <v>914.96180000000004</v>
      </c>
      <c r="Q376" t="s">
        <v>48</v>
      </c>
      <c r="R376" t="s">
        <v>50</v>
      </c>
      <c r="S376" t="s">
        <v>50</v>
      </c>
      <c r="T376" t="s">
        <v>50</v>
      </c>
      <c r="U376" t="s">
        <v>49</v>
      </c>
      <c r="V376" t="s">
        <v>49</v>
      </c>
      <c r="W376" t="s">
        <v>50</v>
      </c>
      <c r="X376" t="s">
        <v>49</v>
      </c>
      <c r="Y376" t="s">
        <v>50</v>
      </c>
      <c r="AA376">
        <v>0</v>
      </c>
      <c r="AB376">
        <v>0</v>
      </c>
      <c r="AD376" t="s">
        <v>50</v>
      </c>
      <c r="AF376">
        <v>177087</v>
      </c>
      <c r="AH376" t="s">
        <v>50</v>
      </c>
      <c r="AI376" t="s">
        <v>50</v>
      </c>
      <c r="AJ376" t="s">
        <v>51</v>
      </c>
      <c r="AK376" t="s">
        <v>50</v>
      </c>
      <c r="AM376" t="s">
        <v>49</v>
      </c>
      <c r="AN376" t="s">
        <v>2097</v>
      </c>
    </row>
    <row r="377" spans="1:40" x14ac:dyDescent="0.2">
      <c r="A377">
        <v>5268551</v>
      </c>
      <c r="B377" t="s">
        <v>2098</v>
      </c>
      <c r="C377" t="str">
        <f>""</f>
        <v/>
      </c>
      <c r="D377" t="str">
        <f>"9781282118706"</f>
        <v>9781282118706</v>
      </c>
      <c r="E377" t="s">
        <v>41</v>
      </c>
      <c r="F377" t="s">
        <v>302</v>
      </c>
      <c r="G377" s="1">
        <v>40553</v>
      </c>
      <c r="H377" s="1">
        <v>1</v>
      </c>
      <c r="I377" t="s">
        <v>43</v>
      </c>
      <c r="J377">
        <v>1</v>
      </c>
      <c r="L377" t="s">
        <v>2093</v>
      </c>
      <c r="M377" t="s">
        <v>2099</v>
      </c>
      <c r="O377">
        <v>615.14</v>
      </c>
      <c r="Q377" t="s">
        <v>48</v>
      </c>
      <c r="R377" t="s">
        <v>50</v>
      </c>
      <c r="S377" t="s">
        <v>50</v>
      </c>
      <c r="T377" t="s">
        <v>50</v>
      </c>
      <c r="U377" t="s">
        <v>49</v>
      </c>
      <c r="V377" t="s">
        <v>49</v>
      </c>
      <c r="W377" t="s">
        <v>50</v>
      </c>
      <c r="X377" t="s">
        <v>49</v>
      </c>
      <c r="Y377" t="s">
        <v>50</v>
      </c>
      <c r="AA377">
        <v>0</v>
      </c>
      <c r="AB377">
        <v>0</v>
      </c>
      <c r="AD377" t="s">
        <v>50</v>
      </c>
      <c r="AF377">
        <v>211870</v>
      </c>
      <c r="AH377" t="s">
        <v>50</v>
      </c>
      <c r="AI377" t="s">
        <v>50</v>
      </c>
      <c r="AJ377" t="s">
        <v>51</v>
      </c>
      <c r="AK377" t="s">
        <v>50</v>
      </c>
      <c r="AM377" t="s">
        <v>49</v>
      </c>
      <c r="AN377" t="s">
        <v>2100</v>
      </c>
    </row>
    <row r="378" spans="1:40" x14ac:dyDescent="0.2">
      <c r="A378">
        <v>5298192</v>
      </c>
      <c r="B378" t="s">
        <v>2101</v>
      </c>
      <c r="C378" t="str">
        <f>""</f>
        <v/>
      </c>
      <c r="D378" t="str">
        <f>"9781280064524"</f>
        <v>9781280064524</v>
      </c>
      <c r="E378" t="s">
        <v>41</v>
      </c>
      <c r="F378" t="s">
        <v>302</v>
      </c>
      <c r="G378" s="1">
        <v>37854</v>
      </c>
      <c r="H378" s="1">
        <v>1</v>
      </c>
      <c r="I378" t="s">
        <v>43</v>
      </c>
      <c r="L378" t="s">
        <v>2102</v>
      </c>
      <c r="M378" t="s">
        <v>91</v>
      </c>
      <c r="O378">
        <v>973.62</v>
      </c>
      <c r="Q378" t="s">
        <v>48</v>
      </c>
      <c r="R378" t="s">
        <v>50</v>
      </c>
      <c r="S378" t="s">
        <v>50</v>
      </c>
      <c r="T378" t="s">
        <v>50</v>
      </c>
      <c r="U378" t="s">
        <v>49</v>
      </c>
      <c r="V378" t="s">
        <v>49</v>
      </c>
      <c r="W378" t="s">
        <v>50</v>
      </c>
      <c r="X378" t="s">
        <v>49</v>
      </c>
      <c r="Y378" t="s">
        <v>50</v>
      </c>
      <c r="AA378">
        <v>0</v>
      </c>
      <c r="AB378">
        <v>0</v>
      </c>
      <c r="AD378" t="s">
        <v>50</v>
      </c>
      <c r="AF378">
        <v>6452</v>
      </c>
      <c r="AH378" t="s">
        <v>50</v>
      </c>
      <c r="AI378" t="s">
        <v>50</v>
      </c>
      <c r="AJ378" t="s">
        <v>51</v>
      </c>
      <c r="AK378" t="s">
        <v>50</v>
      </c>
      <c r="AM378" t="s">
        <v>49</v>
      </c>
      <c r="AN378" t="s">
        <v>2103</v>
      </c>
    </row>
    <row r="379" spans="1:40" x14ac:dyDescent="0.2">
      <c r="A379">
        <v>5338044</v>
      </c>
      <c r="B379" t="s">
        <v>2104</v>
      </c>
      <c r="C379" t="str">
        <f>""</f>
        <v/>
      </c>
      <c r="D379" t="str">
        <f>"9781281952011"</f>
        <v>9781281952011</v>
      </c>
      <c r="E379" t="s">
        <v>2105</v>
      </c>
      <c r="F379" t="s">
        <v>2105</v>
      </c>
      <c r="G379" s="1">
        <v>37426</v>
      </c>
      <c r="H379" s="1">
        <v>43199</v>
      </c>
      <c r="I379" t="s">
        <v>43</v>
      </c>
      <c r="L379" t="s">
        <v>2106</v>
      </c>
      <c r="Q379" t="s">
        <v>48</v>
      </c>
      <c r="R379" t="s">
        <v>50</v>
      </c>
      <c r="S379" t="s">
        <v>50</v>
      </c>
      <c r="T379" t="s">
        <v>50</v>
      </c>
      <c r="U379" t="s">
        <v>50</v>
      </c>
      <c r="V379" t="s">
        <v>49</v>
      </c>
      <c r="W379" t="s">
        <v>50</v>
      </c>
      <c r="X379" t="s">
        <v>50</v>
      </c>
      <c r="Y379" t="s">
        <v>50</v>
      </c>
      <c r="AB379">
        <v>0</v>
      </c>
      <c r="AD379" t="s">
        <v>50</v>
      </c>
      <c r="AF379">
        <v>195201</v>
      </c>
      <c r="AH379" t="s">
        <v>50</v>
      </c>
      <c r="AI379" t="s">
        <v>50</v>
      </c>
      <c r="AJ379" t="s">
        <v>51</v>
      </c>
      <c r="AK379" t="s">
        <v>50</v>
      </c>
      <c r="AM379" t="s">
        <v>49</v>
      </c>
      <c r="AN379" t="s">
        <v>2107</v>
      </c>
    </row>
    <row r="380" spans="1:40" x14ac:dyDescent="0.2">
      <c r="A380">
        <v>5338272</v>
      </c>
      <c r="B380" t="s">
        <v>2108</v>
      </c>
      <c r="C380" t="str">
        <f>""</f>
        <v/>
      </c>
      <c r="D380" t="str">
        <f>"9781282062115"</f>
        <v>9781282062115</v>
      </c>
      <c r="E380" t="s">
        <v>2109</v>
      </c>
      <c r="F380" t="s">
        <v>2109</v>
      </c>
      <c r="G380" s="1">
        <v>39722</v>
      </c>
      <c r="H380" s="1">
        <v>43199</v>
      </c>
      <c r="I380" t="s">
        <v>43</v>
      </c>
      <c r="L380" t="s">
        <v>2110</v>
      </c>
      <c r="M380" t="s">
        <v>45</v>
      </c>
      <c r="O380">
        <v>495.18342100000001</v>
      </c>
      <c r="Q380" t="s">
        <v>48</v>
      </c>
      <c r="R380" t="s">
        <v>50</v>
      </c>
      <c r="S380" t="s">
        <v>50</v>
      </c>
      <c r="T380" t="s">
        <v>50</v>
      </c>
      <c r="U380" t="s">
        <v>50</v>
      </c>
      <c r="V380" t="s">
        <v>49</v>
      </c>
      <c r="W380" t="s">
        <v>50</v>
      </c>
      <c r="X380" t="s">
        <v>50</v>
      </c>
      <c r="Y380" t="s">
        <v>50</v>
      </c>
      <c r="AB380">
        <v>0</v>
      </c>
      <c r="AD380" t="s">
        <v>50</v>
      </c>
      <c r="AF380">
        <v>206211</v>
      </c>
      <c r="AH380" t="s">
        <v>50</v>
      </c>
      <c r="AI380" t="s">
        <v>50</v>
      </c>
      <c r="AJ380" t="s">
        <v>51</v>
      </c>
      <c r="AK380" t="s">
        <v>50</v>
      </c>
      <c r="AM380" t="s">
        <v>49</v>
      </c>
      <c r="AN380" t="s">
        <v>2111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20221004_2888381_nclive-ebooks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2022-10-04T19:02:54Z</dcterms:created>
  <dcterms:modified xsi:type="dcterms:W3CDTF">2022-10-04T19:02:54Z</dcterms:modified>
</cp:coreProperties>
</file>